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6"/>
  </bookViews>
  <sheets>
    <sheet name="SURYAGARH JAGANNATH (2)" sheetId="7" r:id="rId1"/>
    <sheet name="seshpur adharganj" sheetId="6" r:id="rId2"/>
    <sheet name="Atarsand- PR" sheetId="5" r:id="rId3"/>
    <sheet name="Sakra" sheetId="3" r:id="rId4"/>
    <sheet name="aurangabad" sheetId="2" r:id="rId5"/>
    <sheet name="PR ENTERPRISES" sheetId="1" r:id="rId6"/>
    <sheet name="ags construction"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2">'Atarsand- PR'!$B$2:$G$105</definedName>
    <definedName name="_xlnm.Print_Area" localSheetId="4">aurangabad!$A$1:$Q$163</definedName>
    <definedName name="_xlnm.Print_Area" localSheetId="3">[129]Sheet2!$B$4:$G$149</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'[81]GM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'[140]DB_ET200(R.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'[141]scour depth'!#REF!</definedName>
    <definedName name="SSSS">[56]PROCTOR!#REF!</definedName>
    <definedName name="SSSSSS">[56]PROCTOR!#REF!</definedName>
    <definedName name="sst">#REF!</definedName>
    <definedName name="STAADappslabthk">'[142]ABUT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[143]Sheet11!#REF!</definedName>
    <definedName name="Start3">'[144]0+655'!#REF!</definedName>
    <definedName name="Start6">'[111]DS HFL '!$H$1</definedName>
    <definedName name="Start7">'[111]VENT DESIGN '!$H$1</definedName>
    <definedName name="Start8">'[111]Side walls-Slab'!$H$1</definedName>
    <definedName name="Start9">[111]TRANSITIONS!$H$1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[54]Cal!$P$2:$Q$28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'[148]21-Rate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D7" i="8" l="1"/>
  <c r="I21" i="8"/>
  <c r="N7" i="8"/>
  <c r="H9" i="8" l="1"/>
  <c r="H10" i="8"/>
  <c r="H11" i="8"/>
  <c r="H12" i="8"/>
  <c r="H13" i="8"/>
  <c r="H8" i="8"/>
  <c r="E15" i="8"/>
  <c r="D15" i="8"/>
  <c r="L14" i="8"/>
  <c r="D13" i="8"/>
  <c r="F8" i="8" l="1"/>
  <c r="F9" i="8"/>
  <c r="F10" i="8"/>
  <c r="F11" i="8"/>
  <c r="F12" i="8"/>
  <c r="F13" i="8"/>
  <c r="F14" i="8"/>
  <c r="F7" i="8"/>
  <c r="E13" i="8"/>
  <c r="E12" i="8"/>
  <c r="E10" i="8"/>
  <c r="E9" i="8"/>
  <c r="E8" i="8" l="1"/>
  <c r="E7" i="8"/>
  <c r="L7" i="8" l="1"/>
  <c r="L10" i="8"/>
  <c r="L11" i="8"/>
  <c r="D8" i="8"/>
  <c r="D9" i="8"/>
  <c r="D10" i="8"/>
  <c r="D14" i="8"/>
  <c r="D12" i="8"/>
  <c r="L9" i="8"/>
  <c r="H11" i="1" l="1"/>
  <c r="E12" i="1"/>
  <c r="E11" i="1"/>
  <c r="F10" i="1" l="1"/>
  <c r="F8" i="1"/>
  <c r="F7" i="1"/>
  <c r="E10" i="1" l="1"/>
  <c r="G10" i="1" s="1"/>
  <c r="E9" i="1"/>
  <c r="E8" i="1"/>
  <c r="E7" i="1"/>
  <c r="D46" i="7"/>
  <c r="S19" i="7"/>
  <c r="T16" i="7"/>
  <c r="D69" i="7"/>
  <c r="D58" i="7"/>
  <c r="D33" i="7"/>
  <c r="S9" i="7"/>
  <c r="G8" i="1" l="1"/>
  <c r="G7" i="1"/>
  <c r="K11" i="7" l="1"/>
  <c r="D19" i="7"/>
  <c r="K9" i="7" s="1"/>
  <c r="D63" i="7"/>
  <c r="B56" i="7"/>
  <c r="F51" i="7"/>
  <c r="F38" i="7"/>
  <c r="B37" i="7"/>
  <c r="F24" i="7"/>
  <c r="B23" i="7"/>
  <c r="T13" i="7"/>
  <c r="N13" i="7"/>
  <c r="L13" i="7"/>
  <c r="K13" i="7"/>
  <c r="S12" i="7"/>
  <c r="T12" i="7" s="1"/>
  <c r="N12" i="7"/>
  <c r="L12" i="7"/>
  <c r="K12" i="7"/>
  <c r="S11" i="7"/>
  <c r="T11" i="7" s="1"/>
  <c r="N11" i="7"/>
  <c r="L11" i="7"/>
  <c r="F11" i="7"/>
  <c r="S10" i="7"/>
  <c r="T10" i="7" s="1"/>
  <c r="K10" i="7"/>
  <c r="B10" i="7"/>
  <c r="B11" i="7" s="1"/>
  <c r="T9" i="7"/>
  <c r="M9" i="7"/>
  <c r="O9" i="7" s="1"/>
  <c r="M13" i="7" l="1"/>
  <c r="M10" i="7"/>
  <c r="O10" i="7" s="1"/>
  <c r="M11" i="7"/>
  <c r="O11" i="7" s="1"/>
  <c r="O13" i="7"/>
  <c r="M12" i="7"/>
  <c r="O12" i="7"/>
  <c r="N115" i="6" l="1"/>
  <c r="N101" i="6"/>
  <c r="N94" i="6"/>
  <c r="N93" i="6"/>
  <c r="N92" i="6"/>
  <c r="N91" i="6"/>
  <c r="N86" i="6"/>
  <c r="N82" i="6"/>
  <c r="N81" i="6"/>
  <c r="D78" i="6"/>
  <c r="O77" i="6"/>
  <c r="N77" i="6"/>
  <c r="D68" i="6"/>
  <c r="M13" i="6" s="1"/>
  <c r="I62" i="6"/>
  <c r="H61" i="6"/>
  <c r="D58" i="6"/>
  <c r="M12" i="6" s="1"/>
  <c r="O12" i="6" s="1"/>
  <c r="N50" i="6"/>
  <c r="O49" i="6"/>
  <c r="N49" i="6"/>
  <c r="O48" i="6"/>
  <c r="N48" i="6"/>
  <c r="D46" i="6"/>
  <c r="M11" i="6" s="1"/>
  <c r="O11" i="6" s="1"/>
  <c r="N43" i="6"/>
  <c r="N38" i="6"/>
  <c r="D33" i="6"/>
  <c r="N28" i="6"/>
  <c r="N27" i="6"/>
  <c r="N25" i="6"/>
  <c r="N23" i="6"/>
  <c r="N22" i="6"/>
  <c r="D19" i="6"/>
  <c r="M9" i="6" s="1"/>
  <c r="R15" i="6"/>
  <c r="N14" i="6"/>
  <c r="M14" i="6"/>
  <c r="L14" i="6"/>
  <c r="N13" i="6"/>
  <c r="L13" i="6"/>
  <c r="R12" i="6"/>
  <c r="N12" i="6"/>
  <c r="L12" i="6"/>
  <c r="N11" i="6"/>
  <c r="L11" i="6"/>
  <c r="N10" i="6"/>
  <c r="M10" i="6"/>
  <c r="O10" i="6" s="1"/>
  <c r="L10" i="6"/>
  <c r="B10" i="6"/>
  <c r="N9" i="6"/>
  <c r="N15" i="6" s="1"/>
  <c r="N16" i="6" s="1"/>
  <c r="L9" i="6"/>
  <c r="G203" i="5"/>
  <c r="G202" i="5"/>
  <c r="F201" i="5"/>
  <c r="E201" i="5"/>
  <c r="G201" i="5" s="1"/>
  <c r="E187" i="5"/>
  <c r="G187" i="5" s="1"/>
  <c r="G185" i="5"/>
  <c r="F185" i="5"/>
  <c r="E185" i="5"/>
  <c r="G183" i="5"/>
  <c r="G177" i="5"/>
  <c r="G172" i="5"/>
  <c r="E171" i="5"/>
  <c r="G171" i="5" s="1"/>
  <c r="G170" i="5"/>
  <c r="E170" i="5"/>
  <c r="E169" i="5"/>
  <c r="G169" i="5" s="1"/>
  <c r="G168" i="5"/>
  <c r="E168" i="5"/>
  <c r="F167" i="5"/>
  <c r="E167" i="5"/>
  <c r="G167" i="5" s="1"/>
  <c r="G164" i="5"/>
  <c r="G161" i="5"/>
  <c r="G160" i="5"/>
  <c r="F140" i="5"/>
  <c r="E140" i="5"/>
  <c r="G140" i="5" s="1"/>
  <c r="F139" i="5"/>
  <c r="G139" i="5" s="1"/>
  <c r="E139" i="5"/>
  <c r="G135" i="5"/>
  <c r="E134" i="5"/>
  <c r="G134" i="5" s="1"/>
  <c r="G129" i="5"/>
  <c r="G128" i="5"/>
  <c r="F127" i="5"/>
  <c r="G127" i="5" s="1"/>
  <c r="G126" i="5"/>
  <c r="G125" i="5"/>
  <c r="E124" i="5"/>
  <c r="G124" i="5" s="1"/>
  <c r="F114" i="5"/>
  <c r="E114" i="5"/>
  <c r="G114" i="5" s="1"/>
  <c r="G113" i="5"/>
  <c r="G111" i="5"/>
  <c r="E110" i="5"/>
  <c r="G110" i="5" s="1"/>
  <c r="G109" i="5"/>
  <c r="E109" i="5"/>
  <c r="G108" i="5"/>
  <c r="D105" i="5"/>
  <c r="L12" i="5" s="1"/>
  <c r="F99" i="5"/>
  <c r="F100" i="5" s="1"/>
  <c r="F101" i="5" s="1"/>
  <c r="F102" i="5" s="1"/>
  <c r="F103" i="5" s="1"/>
  <c r="F98" i="5"/>
  <c r="D95" i="5"/>
  <c r="L11" i="5" s="1"/>
  <c r="F89" i="5"/>
  <c r="F90" i="5" s="1"/>
  <c r="F88" i="5"/>
  <c r="D75" i="5"/>
  <c r="F65" i="5"/>
  <c r="F66" i="5" s="1"/>
  <c r="F67" i="5" s="1"/>
  <c r="F68" i="5" s="1"/>
  <c r="D62" i="5"/>
  <c r="D49" i="5"/>
  <c r="E39" i="5"/>
  <c r="B39" i="5"/>
  <c r="B40" i="5" s="1"/>
  <c r="B41" i="5" s="1"/>
  <c r="B42" i="5" s="1"/>
  <c r="B43" i="5" s="1"/>
  <c r="E38" i="5"/>
  <c r="B38" i="5"/>
  <c r="F28" i="5"/>
  <c r="F29" i="5" s="1"/>
  <c r="F30" i="5" s="1"/>
  <c r="F31" i="5" s="1"/>
  <c r="F32" i="5" s="1"/>
  <c r="F33" i="5" s="1"/>
  <c r="F34" i="5" s="1"/>
  <c r="F35" i="5" s="1"/>
  <c r="F36" i="5" s="1"/>
  <c r="F37" i="5" s="1"/>
  <c r="F38" i="5" s="1"/>
  <c r="F39" i="5" s="1"/>
  <c r="F27" i="5"/>
  <c r="D23" i="5"/>
  <c r="K22" i="5"/>
  <c r="B18" i="5"/>
  <c r="B19" i="5" s="1"/>
  <c r="B20" i="5" s="1"/>
  <c r="B21" i="5" s="1"/>
  <c r="B22" i="5" s="1"/>
  <c r="R13" i="5"/>
  <c r="K13" i="5"/>
  <c r="P12" i="5"/>
  <c r="M12" i="5"/>
  <c r="K12" i="5"/>
  <c r="P11" i="5"/>
  <c r="M11" i="5"/>
  <c r="K11" i="5"/>
  <c r="P10" i="5"/>
  <c r="Q10" i="5" s="1"/>
  <c r="M10" i="5"/>
  <c r="N10" i="5" s="1"/>
  <c r="L10" i="5"/>
  <c r="K10" i="5"/>
  <c r="P9" i="5"/>
  <c r="M9" i="5"/>
  <c r="L9" i="5"/>
  <c r="N9" i="5" s="1"/>
  <c r="K9" i="5"/>
  <c r="P8" i="5"/>
  <c r="M8" i="5"/>
  <c r="O8" i="5" s="1"/>
  <c r="L8" i="5"/>
  <c r="Q8" i="5" s="1"/>
  <c r="K8" i="5"/>
  <c r="F8" i="5"/>
  <c r="F9" i="5" s="1"/>
  <c r="F10" i="5" s="1"/>
  <c r="F11" i="5" s="1"/>
  <c r="F12" i="5" s="1"/>
  <c r="F13" i="5" s="1"/>
  <c r="F14" i="5" s="1"/>
  <c r="F15" i="5" s="1"/>
  <c r="F16" i="5" s="1"/>
  <c r="F17" i="5" s="1"/>
  <c r="F18" i="5" s="1"/>
  <c r="F19" i="5" s="1"/>
  <c r="P7" i="5"/>
  <c r="M7" i="5"/>
  <c r="L7" i="5"/>
  <c r="K7" i="5"/>
  <c r="F7" i="5"/>
  <c r="F11" i="1" l="1"/>
  <c r="G11" i="1" s="1"/>
  <c r="F9" i="1"/>
  <c r="G9" i="1" s="1"/>
  <c r="F12" i="1"/>
  <c r="G12" i="1" s="1"/>
  <c r="N7" i="5"/>
  <c r="O13" i="6"/>
  <c r="K14" i="5"/>
  <c r="O9" i="6"/>
  <c r="O14" i="6"/>
  <c r="Q11" i="5"/>
  <c r="N11" i="5"/>
  <c r="N12" i="5"/>
  <c r="Q12" i="5"/>
  <c r="N8" i="5"/>
  <c r="Q9" i="5"/>
  <c r="Q7" i="5"/>
  <c r="L15" i="3" l="1"/>
  <c r="N7" i="3"/>
  <c r="N8" i="3"/>
  <c r="N9" i="3"/>
  <c r="N10" i="3"/>
  <c r="N11" i="3"/>
  <c r="N12" i="3"/>
  <c r="N6" i="3"/>
  <c r="N15" i="3" s="1"/>
  <c r="E158" i="3" l="1"/>
  <c r="G158" i="3" s="1"/>
  <c r="E152" i="3"/>
  <c r="G152" i="3" s="1"/>
  <c r="G141" i="3"/>
  <c r="F140" i="3"/>
  <c r="E140" i="3"/>
  <c r="G140" i="3" s="1"/>
  <c r="G126" i="3"/>
  <c r="G123" i="3"/>
  <c r="G120" i="3"/>
  <c r="G118" i="3"/>
  <c r="G117" i="3"/>
  <c r="G114" i="3"/>
  <c r="E111" i="3"/>
  <c r="G111" i="3" s="1"/>
  <c r="G110" i="3"/>
  <c r="E110" i="3"/>
  <c r="F109" i="3"/>
  <c r="G109" i="3" s="1"/>
  <c r="E108" i="3"/>
  <c r="G108" i="3" s="1"/>
  <c r="F107" i="3"/>
  <c r="E107" i="3"/>
  <c r="F106" i="3"/>
  <c r="E106" i="3"/>
  <c r="G106" i="3" s="1"/>
  <c r="E76" i="3"/>
  <c r="G76" i="3" s="1"/>
  <c r="E75" i="3"/>
  <c r="G75" i="3" s="1"/>
  <c r="F74" i="3"/>
  <c r="E74" i="3"/>
  <c r="G74" i="3" s="1"/>
  <c r="F73" i="3"/>
  <c r="E73" i="3"/>
  <c r="G73" i="3" s="1"/>
  <c r="E68" i="3"/>
  <c r="G68" i="3" s="1"/>
  <c r="G66" i="3"/>
  <c r="F66" i="3"/>
  <c r="E66" i="3"/>
  <c r="F65" i="3"/>
  <c r="E65" i="3"/>
  <c r="G65" i="3" s="1"/>
  <c r="F64" i="3"/>
  <c r="E64" i="3"/>
  <c r="G63" i="3"/>
  <c r="G53" i="3"/>
  <c r="F50" i="3"/>
  <c r="E50" i="3"/>
  <c r="G50" i="3" s="1"/>
  <c r="F49" i="3"/>
  <c r="E49" i="3"/>
  <c r="F48" i="3"/>
  <c r="E48" i="3"/>
  <c r="G48" i="3" s="1"/>
  <c r="F47" i="3"/>
  <c r="E47" i="3"/>
  <c r="G47" i="3" s="1"/>
  <c r="H39" i="3"/>
  <c r="H33" i="3"/>
  <c r="H29" i="3"/>
  <c r="H24" i="3"/>
  <c r="H18" i="3"/>
  <c r="H11" i="3"/>
  <c r="G64" i="3" l="1"/>
  <c r="G107" i="3"/>
  <c r="G49" i="3"/>
  <c r="P154" i="2" l="1"/>
  <c r="O154" i="2"/>
  <c r="Q154" i="2" s="1"/>
  <c r="H154" i="2"/>
  <c r="P153" i="2"/>
  <c r="O153" i="2"/>
  <c r="Q153" i="2" s="1"/>
  <c r="H153" i="2"/>
  <c r="G153" i="2"/>
  <c r="P152" i="2"/>
  <c r="O152" i="2"/>
  <c r="Q152" i="2" s="1"/>
  <c r="P151" i="2"/>
  <c r="O151" i="2"/>
  <c r="Q151" i="2" s="1"/>
  <c r="L151" i="2"/>
  <c r="K151" i="2"/>
  <c r="P150" i="2"/>
  <c r="L150" i="2"/>
  <c r="K150" i="2"/>
  <c r="O150" i="2" s="1"/>
  <c r="Q150" i="2" s="1"/>
  <c r="P149" i="2"/>
  <c r="L149" i="2"/>
  <c r="K149" i="2"/>
  <c r="O149" i="2" s="1"/>
  <c r="Q149" i="2" s="1"/>
  <c r="P148" i="2"/>
  <c r="L148" i="2"/>
  <c r="O148" i="2" s="1"/>
  <c r="Q148" i="2" s="1"/>
  <c r="K148" i="2"/>
  <c r="P147" i="2"/>
  <c r="O147" i="2"/>
  <c r="Q147" i="2" s="1"/>
  <c r="L147" i="2"/>
  <c r="K147" i="2"/>
  <c r="P146" i="2"/>
  <c r="O146" i="2"/>
  <c r="Q146" i="2" s="1"/>
  <c r="P145" i="2"/>
  <c r="L145" i="2"/>
  <c r="O145" i="2" s="1"/>
  <c r="Q145" i="2" s="1"/>
  <c r="K145" i="2"/>
  <c r="P144" i="2"/>
  <c r="O144" i="2"/>
  <c r="Q144" i="2" s="1"/>
  <c r="L144" i="2"/>
  <c r="K144" i="2"/>
  <c r="P143" i="2"/>
  <c r="O143" i="2"/>
  <c r="Q143" i="2" s="1"/>
  <c r="P142" i="2"/>
  <c r="O142" i="2"/>
  <c r="Q142" i="2" s="1"/>
  <c r="P141" i="2"/>
  <c r="O141" i="2"/>
  <c r="Q141" i="2" s="1"/>
  <c r="Q140" i="2"/>
  <c r="P140" i="2"/>
  <c r="O140" i="2"/>
  <c r="P139" i="2"/>
  <c r="O139" i="2"/>
  <c r="Q139" i="2" s="1"/>
  <c r="P138" i="2"/>
  <c r="O138" i="2"/>
  <c r="Q138" i="2" s="1"/>
  <c r="P137" i="2"/>
  <c r="O137" i="2"/>
  <c r="Q137" i="2" s="1"/>
  <c r="P136" i="2"/>
  <c r="K136" i="2"/>
  <c r="O136" i="2" s="1"/>
  <c r="Q136" i="2" s="1"/>
  <c r="P135" i="2"/>
  <c r="L135" i="2"/>
  <c r="K135" i="2"/>
  <c r="O135" i="2" s="1"/>
  <c r="Q135" i="2" s="1"/>
  <c r="P134" i="2"/>
  <c r="O134" i="2"/>
  <c r="Q134" i="2" s="1"/>
  <c r="L134" i="2"/>
  <c r="K134" i="2"/>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P133" i="2"/>
  <c r="L133" i="2"/>
  <c r="K133" i="2"/>
  <c r="O133" i="2" s="1"/>
  <c r="Q133" i="2" s="1"/>
  <c r="P130" i="2"/>
  <c r="O130" i="2"/>
  <c r="Q130" i="2" s="1"/>
  <c r="P129" i="2"/>
  <c r="O129" i="2"/>
  <c r="Q129" i="2" s="1"/>
  <c r="P128" i="2"/>
  <c r="O128" i="2"/>
  <c r="Q128" i="2" s="1"/>
  <c r="P127" i="2"/>
  <c r="O127" i="2"/>
  <c r="Q127" i="2" s="1"/>
  <c r="A127" i="2"/>
  <c r="A128" i="2" s="1"/>
  <c r="A129" i="2" s="1"/>
  <c r="A130" i="2" s="1"/>
  <c r="P126" i="2"/>
  <c r="O126" i="2"/>
  <c r="Q126" i="2" s="1"/>
  <c r="P123" i="2"/>
  <c r="O123" i="2"/>
  <c r="Q123" i="2" s="1"/>
  <c r="Q122" i="2"/>
  <c r="P122" i="2"/>
  <c r="O122" i="2"/>
  <c r="P121" i="2"/>
  <c r="O121" i="2"/>
  <c r="Q121" i="2" s="1"/>
  <c r="Q120" i="2"/>
  <c r="P120" i="2"/>
  <c r="O120" i="2"/>
  <c r="P119" i="2"/>
  <c r="O119" i="2"/>
  <c r="Q119" i="2" s="1"/>
  <c r="P118" i="2"/>
  <c r="O118" i="2"/>
  <c r="Q118" i="2" s="1"/>
  <c r="A118" i="2"/>
  <c r="A119" i="2" s="1"/>
  <c r="A120" i="2" s="1"/>
  <c r="A121" i="2" s="1"/>
  <c r="A122" i="2" s="1"/>
  <c r="A123" i="2" s="1"/>
  <c r="P117" i="2"/>
  <c r="O117" i="2"/>
  <c r="Q117" i="2" s="1"/>
  <c r="Q114" i="2"/>
  <c r="P114" i="2"/>
  <c r="O114" i="2"/>
  <c r="Q113" i="2"/>
  <c r="P113" i="2"/>
  <c r="O113" i="2"/>
  <c r="P112" i="2"/>
  <c r="O112" i="2"/>
  <c r="Q112" i="2" s="1"/>
  <c r="P111" i="2"/>
  <c r="O111" i="2"/>
  <c r="Q111" i="2" s="1"/>
  <c r="P110" i="2"/>
  <c r="O110" i="2"/>
  <c r="Q110" i="2" s="1"/>
  <c r="P109" i="2"/>
  <c r="O109" i="2"/>
  <c r="Q109" i="2" s="1"/>
  <c r="Q108" i="2"/>
  <c r="P108" i="2"/>
  <c r="O108" i="2"/>
  <c r="A108" i="2"/>
  <c r="A109" i="2" s="1"/>
  <c r="A110" i="2" s="1"/>
  <c r="A111" i="2" s="1"/>
  <c r="A112" i="2" s="1"/>
  <c r="A113" i="2" s="1"/>
  <c r="A114" i="2" s="1"/>
  <c r="P107" i="2"/>
  <c r="O107" i="2"/>
  <c r="Q107" i="2" s="1"/>
  <c r="P104" i="2"/>
  <c r="O104" i="2"/>
  <c r="Q104" i="2" s="1"/>
  <c r="P103" i="2"/>
  <c r="O103" i="2"/>
  <c r="Q103" i="2" s="1"/>
  <c r="P102" i="2"/>
  <c r="O102" i="2"/>
  <c r="Q102" i="2" s="1"/>
  <c r="P101" i="2"/>
  <c r="O101" i="2"/>
  <c r="Q101" i="2" s="1"/>
  <c r="P100" i="2"/>
  <c r="O100" i="2"/>
  <c r="Q100" i="2" s="1"/>
  <c r="P99" i="2"/>
  <c r="O99" i="2"/>
  <c r="Q99" i="2" s="1"/>
  <c r="P98" i="2"/>
  <c r="O98" i="2"/>
  <c r="Q98" i="2" s="1"/>
  <c r="P97" i="2"/>
  <c r="O97" i="2"/>
  <c r="Q97" i="2" s="1"/>
  <c r="P96" i="2"/>
  <c r="O96" i="2"/>
  <c r="Q96" i="2" s="1"/>
  <c r="P95" i="2"/>
  <c r="O95" i="2"/>
  <c r="Q95" i="2" s="1"/>
  <c r="P94" i="2"/>
  <c r="O94" i="2"/>
  <c r="Q94" i="2" s="1"/>
  <c r="P93" i="2"/>
  <c r="O93" i="2"/>
  <c r="Q93" i="2" s="1"/>
  <c r="P92" i="2"/>
  <c r="O92" i="2"/>
  <c r="Q92" i="2" s="1"/>
  <c r="P91" i="2"/>
  <c r="O91" i="2"/>
  <c r="Q91" i="2" s="1"/>
  <c r="P90" i="2"/>
  <c r="O90" i="2"/>
  <c r="Q90" i="2" s="1"/>
  <c r="P89" i="2"/>
  <c r="O89" i="2"/>
  <c r="Q89" i="2" s="1"/>
  <c r="P88" i="2"/>
  <c r="O88" i="2"/>
  <c r="Q88" i="2" s="1"/>
  <c r="P87" i="2"/>
  <c r="O87" i="2"/>
  <c r="Q87" i="2" s="1"/>
  <c r="P86" i="2"/>
  <c r="O86" i="2"/>
  <c r="Q86" i="2" s="1"/>
  <c r="P85" i="2"/>
  <c r="O85" i="2"/>
  <c r="Q85" i="2" s="1"/>
  <c r="P84" i="2"/>
  <c r="O84" i="2"/>
  <c r="Q84" i="2" s="1"/>
  <c r="P83" i="2"/>
  <c r="O83" i="2"/>
  <c r="Q83" i="2" s="1"/>
  <c r="P82" i="2"/>
  <c r="O82" i="2"/>
  <c r="Q82" i="2" s="1"/>
  <c r="P81" i="2"/>
  <c r="O81" i="2"/>
  <c r="Q81" i="2" s="1"/>
  <c r="P80" i="2"/>
  <c r="O80" i="2"/>
  <c r="Q80" i="2" s="1"/>
  <c r="P79" i="2"/>
  <c r="O79" i="2"/>
  <c r="Q79" i="2" s="1"/>
  <c r="P78" i="2"/>
  <c r="O78" i="2"/>
  <c r="Q78" i="2" s="1"/>
  <c r="A78" i="2"/>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P77" i="2"/>
  <c r="O77" i="2"/>
  <c r="Q77" i="2" s="1"/>
  <c r="P74" i="2"/>
  <c r="O74" i="2"/>
  <c r="Q74" i="2" s="1"/>
  <c r="P73" i="2"/>
  <c r="O73" i="2"/>
  <c r="Q73" i="2" s="1"/>
  <c r="P72" i="2"/>
  <c r="O72" i="2"/>
  <c r="Q72" i="2" s="1"/>
  <c r="P71" i="2"/>
  <c r="O71" i="2"/>
  <c r="Q71" i="2" s="1"/>
  <c r="P70" i="2"/>
  <c r="O70" i="2"/>
  <c r="Q70" i="2" s="1"/>
  <c r="P69" i="2"/>
  <c r="O69" i="2"/>
  <c r="Q69" i="2" s="1"/>
  <c r="P68" i="2"/>
  <c r="O68" i="2"/>
  <c r="Q68" i="2" s="1"/>
  <c r="A68" i="2"/>
  <c r="A69" i="2" s="1"/>
  <c r="A70" i="2" s="1"/>
  <c r="A71" i="2" s="1"/>
  <c r="A72" i="2" s="1"/>
  <c r="A73" i="2" s="1"/>
  <c r="A74" i="2" s="1"/>
  <c r="P67" i="2"/>
  <c r="O67" i="2"/>
  <c r="Q67" i="2" s="1"/>
  <c r="Q66" i="2"/>
  <c r="P64" i="2"/>
  <c r="O64" i="2"/>
  <c r="Q64" i="2" s="1"/>
  <c r="P63" i="2"/>
  <c r="O63" i="2"/>
  <c r="Q63" i="2" s="1"/>
  <c r="P62" i="2"/>
  <c r="O62" i="2"/>
  <c r="Q62" i="2" s="1"/>
  <c r="P61" i="2"/>
  <c r="O61" i="2"/>
  <c r="Q61" i="2" s="1"/>
  <c r="P60" i="2"/>
  <c r="O60" i="2"/>
  <c r="Q60" i="2" s="1"/>
  <c r="P59" i="2"/>
  <c r="O59" i="2"/>
  <c r="Q59" i="2" s="1"/>
  <c r="P58" i="2"/>
  <c r="O58" i="2"/>
  <c r="Q58" i="2" s="1"/>
  <c r="P57" i="2"/>
  <c r="O57" i="2"/>
  <c r="Q57" i="2" s="1"/>
  <c r="P56" i="2"/>
  <c r="O56" i="2"/>
  <c r="Q56" i="2" s="1"/>
  <c r="P55" i="2"/>
  <c r="O55" i="2"/>
  <c r="Q55" i="2" s="1"/>
  <c r="P54" i="2"/>
  <c r="O54" i="2"/>
  <c r="Q54" i="2" s="1"/>
  <c r="P53" i="2"/>
  <c r="O53" i="2"/>
  <c r="Q53" i="2" s="1"/>
  <c r="P52" i="2"/>
  <c r="O52" i="2"/>
  <c r="Q52" i="2" s="1"/>
  <c r="P51" i="2"/>
  <c r="O51" i="2"/>
  <c r="Q51" i="2" s="1"/>
  <c r="P50" i="2"/>
  <c r="O50" i="2"/>
  <c r="Q50" i="2" s="1"/>
  <c r="P49" i="2"/>
  <c r="O49" i="2"/>
  <c r="Q49" i="2" s="1"/>
  <c r="P48" i="2"/>
  <c r="O48" i="2"/>
  <c r="Q48" i="2" s="1"/>
  <c r="P47" i="2"/>
  <c r="O47" i="2"/>
  <c r="Q47" i="2" s="1"/>
  <c r="P46" i="2"/>
  <c r="O46" i="2"/>
  <c r="Q46" i="2" s="1"/>
  <c r="P45" i="2"/>
  <c r="O45" i="2"/>
  <c r="Q45" i="2" s="1"/>
  <c r="P44" i="2"/>
  <c r="O44" i="2"/>
  <c r="Q44" i="2" s="1"/>
  <c r="P43" i="2"/>
  <c r="O43" i="2"/>
  <c r="Q43" i="2" s="1"/>
  <c r="P42" i="2"/>
  <c r="O42" i="2"/>
  <c r="Q42" i="2" s="1"/>
  <c r="P41" i="2"/>
  <c r="O41" i="2"/>
  <c r="Q41" i="2" s="1"/>
  <c r="P40" i="2"/>
  <c r="O40" i="2"/>
  <c r="Q40" i="2" s="1"/>
  <c r="P39" i="2"/>
  <c r="O39" i="2"/>
  <c r="Q39" i="2" s="1"/>
  <c r="P38" i="2"/>
  <c r="O38" i="2"/>
  <c r="Q38" i="2" s="1"/>
  <c r="P37" i="2"/>
  <c r="O37" i="2"/>
  <c r="Q37" i="2" s="1"/>
  <c r="P36" i="2"/>
  <c r="O36" i="2"/>
  <c r="Q36" i="2" s="1"/>
  <c r="P35" i="2"/>
  <c r="O35" i="2"/>
  <c r="Q35" i="2" s="1"/>
  <c r="P34" i="2"/>
  <c r="O34" i="2"/>
  <c r="Q34" i="2" s="1"/>
  <c r="A34" i="2"/>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P33" i="2"/>
  <c r="O33" i="2"/>
  <c r="Q33" i="2" s="1"/>
  <c r="A33" i="2"/>
  <c r="P32" i="2"/>
  <c r="O32" i="2"/>
  <c r="Q32" i="2" s="1"/>
  <c r="Q31" i="2"/>
  <c r="P29" i="2"/>
  <c r="O29" i="2"/>
  <c r="Q29" i="2" s="1"/>
  <c r="P28" i="2"/>
  <c r="O28" i="2"/>
  <c r="Q28" i="2" s="1"/>
  <c r="P27" i="2"/>
  <c r="O27" i="2"/>
  <c r="Q27" i="2" s="1"/>
  <c r="P26" i="2"/>
  <c r="O26" i="2"/>
  <c r="Q26" i="2" s="1"/>
  <c r="P25" i="2"/>
  <c r="O25" i="2"/>
  <c r="Q25" i="2" s="1"/>
  <c r="P24" i="2"/>
  <c r="O24" i="2"/>
  <c r="Q24" i="2" s="1"/>
  <c r="P23" i="2"/>
  <c r="O23" i="2"/>
  <c r="Q23" i="2" s="1"/>
  <c r="A23" i="2"/>
  <c r="A24" i="2" s="1"/>
  <c r="A25" i="2" s="1"/>
  <c r="A26" i="2" s="1"/>
  <c r="A27" i="2" s="1"/>
  <c r="A28" i="2" s="1"/>
  <c r="A29" i="2" s="1"/>
  <c r="P22" i="2"/>
  <c r="O22" i="2"/>
  <c r="Q22" i="2" s="1"/>
  <c r="O21" i="2"/>
  <c r="Q21" i="2" s="1"/>
  <c r="Q18" i="2"/>
  <c r="P18" i="2"/>
  <c r="O18" i="2"/>
  <c r="Q17" i="2"/>
  <c r="P17" i="2"/>
  <c r="O17" i="2"/>
  <c r="Q16" i="2"/>
  <c r="P16" i="2"/>
  <c r="O16" i="2"/>
  <c r="Q15" i="2"/>
  <c r="P15" i="2"/>
  <c r="O15" i="2"/>
  <c r="Q14" i="2"/>
  <c r="P14" i="2"/>
  <c r="O14" i="2"/>
  <c r="Q13" i="2"/>
  <c r="P13" i="2"/>
  <c r="O13" i="2"/>
  <c r="Q12" i="2"/>
  <c r="P12" i="2"/>
  <c r="O12" i="2"/>
  <c r="E12" i="2"/>
  <c r="H12" i="2" s="1"/>
  <c r="R12" i="2" s="1"/>
  <c r="P11" i="2"/>
  <c r="O11" i="2"/>
  <c r="Q11" i="2" s="1"/>
  <c r="H11" i="2"/>
  <c r="R11" i="2" s="1"/>
  <c r="E11" i="2"/>
  <c r="D11" i="2"/>
  <c r="A11" i="2"/>
  <c r="A12" i="2" s="1"/>
  <c r="A13" i="2" s="1"/>
  <c r="A14" i="2" s="1"/>
  <c r="A15" i="2" s="1"/>
  <c r="A16" i="2" s="1"/>
  <c r="A17" i="2" s="1"/>
  <c r="A18" i="2" s="1"/>
  <c r="Q10" i="2"/>
  <c r="P10" i="2"/>
  <c r="O10" i="2"/>
  <c r="E10" i="2"/>
  <c r="H10" i="2" s="1"/>
  <c r="R10" i="2" s="1"/>
  <c r="A10" i="2"/>
  <c r="Q9" i="2"/>
  <c r="P9" i="2"/>
  <c r="O9" i="2"/>
  <c r="J9" i="2"/>
  <c r="E9" i="2"/>
  <c r="H9" i="2" s="1"/>
  <c r="R9" i="2" s="1"/>
</calcChain>
</file>

<file path=xl/sharedStrings.xml><?xml version="1.0" encoding="utf-8"?>
<sst xmlns="http://schemas.openxmlformats.org/spreadsheetml/2006/main" count="1663" uniqueCount="453">
  <si>
    <t xml:space="preserve">POWER MECH PROJECTS.LIMITED </t>
  </si>
  <si>
    <t>RURAL WATER SUPPLY PROJECT UNDER JJM, UP - PRAYAGRAJ</t>
  </si>
  <si>
    <t>Reconciliation Statement - Issued  Vs Certification Qty.</t>
  </si>
  <si>
    <t>Contractor Name-kaviaz infrastructure pvt</t>
  </si>
  <si>
    <t>MONTH:</t>
  </si>
  <si>
    <t>Block:</t>
  </si>
  <si>
    <t>mangraura</t>
  </si>
  <si>
    <t>ABC Limited</t>
  </si>
  <si>
    <t>BILL NO:</t>
  </si>
  <si>
    <t>GP:</t>
  </si>
  <si>
    <t>aurangabad</t>
  </si>
  <si>
    <t>Sl NO</t>
  </si>
  <si>
    <t>Description</t>
  </si>
  <si>
    <t>Units</t>
  </si>
  <si>
    <t xml:space="preserve">Balance Qty </t>
  </si>
  <si>
    <t>SAP Entry</t>
  </si>
  <si>
    <t>as per in site</t>
  </si>
  <si>
    <t>Total Issued Qty</t>
  </si>
  <si>
    <t>Cumulative Consumption</t>
  </si>
  <si>
    <t xml:space="preserve">Upto Pre Consumed Qty </t>
  </si>
  <si>
    <t xml:space="preserve">This Bill Consumed Qty </t>
  </si>
  <si>
    <t>A</t>
  </si>
  <si>
    <t>HDPE Pipe :-</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</si>
  <si>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</si>
  <si>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</si>
  <si>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</si>
  <si>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</si>
  <si>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</si>
  <si>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</si>
  <si>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</si>
  <si>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</si>
  <si>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</si>
  <si>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</si>
  <si>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</si>
  <si>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FHTC</t>
  </si>
  <si>
    <t>Upto date Consumption</t>
  </si>
  <si>
    <t>GP</t>
  </si>
  <si>
    <t>Total Consumption upto This Bill</t>
  </si>
  <si>
    <t>Entry Qty</t>
  </si>
  <si>
    <t>BLOCK</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</si>
  <si>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</si>
  <si>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</si>
  <si>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</si>
  <si>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</si>
  <si>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</si>
  <si>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</si>
  <si>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</si>
  <si>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</si>
  <si>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</si>
  <si>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</si>
  <si>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</si>
  <si>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</si>
  <si>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</si>
  <si>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</si>
  <si>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</si>
  <si>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</si>
  <si>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</si>
  <si>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</si>
  <si>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</si>
  <si>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</si>
  <si>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</si>
  <si>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</si>
  <si>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</si>
  <si>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</si>
  <si>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</si>
  <si>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</si>
  <si>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</si>
  <si>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</si>
  <si>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</si>
  <si>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</si>
  <si>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</si>
  <si>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</si>
  <si>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</si>
  <si>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</si>
  <si>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</si>
  <si>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</si>
  <si>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</si>
  <si>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</si>
  <si>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</si>
  <si>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</si>
  <si>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</si>
  <si>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</si>
  <si>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</si>
  <si>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</si>
  <si>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</si>
  <si>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</si>
  <si>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</si>
  <si>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</si>
  <si>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</si>
  <si>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</si>
  <si>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</si>
  <si>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</si>
  <si>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</si>
  <si>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</si>
  <si>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</si>
  <si>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</si>
  <si>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</si>
  <si>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</si>
  <si>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</si>
  <si>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</si>
  <si>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</si>
  <si>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</si>
  <si>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</si>
  <si>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</si>
  <si>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</si>
  <si>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</si>
  <si>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</si>
  <si>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</si>
  <si>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</si>
  <si>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</si>
  <si>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</si>
  <si>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</si>
  <si>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</si>
  <si>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</si>
  <si>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</si>
  <si>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</si>
  <si>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</si>
  <si>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</si>
  <si>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</si>
  <si>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</si>
  <si>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</si>
  <si>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</si>
  <si>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</si>
  <si>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</si>
  <si>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</si>
  <si>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</si>
  <si>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</si>
  <si>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</si>
  <si>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</si>
  <si>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</si>
  <si>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</si>
  <si>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</si>
  <si>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</si>
  <si>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</si>
  <si>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</si>
  <si>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</si>
  <si>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</si>
  <si>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</si>
  <si>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</si>
  <si>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</si>
  <si>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</si>
  <si>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</si>
  <si>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</si>
  <si>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</si>
  <si>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</si>
  <si>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</si>
  <si>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</si>
  <si>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</si>
  <si>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</si>
  <si>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</si>
  <si>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</si>
  <si>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</si>
  <si>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</si>
  <si>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</si>
  <si>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</si>
  <si>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</si>
  <si>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</si>
  <si>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</si>
  <si>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</si>
  <si>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</si>
  <si>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</si>
  <si>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</si>
  <si>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</si>
  <si>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</si>
  <si>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</si>
  <si>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</si>
  <si>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</si>
  <si>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</si>
  <si>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</si>
  <si>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</si>
  <si>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</si>
  <si>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</si>
  <si>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</si>
  <si>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</si>
  <si>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</si>
  <si>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</si>
  <si>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</si>
  <si>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</si>
  <si>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Block</t>
  </si>
  <si>
    <t>Mangraura</t>
  </si>
  <si>
    <t>Sakra</t>
  </si>
  <si>
    <t>Agency Name/    Work Order No</t>
  </si>
  <si>
    <t>Harika Infra</t>
  </si>
  <si>
    <t>63MM</t>
  </si>
  <si>
    <t>Sl.No</t>
  </si>
  <si>
    <t>Date</t>
  </si>
  <si>
    <t>Issue (M)</t>
  </si>
  <si>
    <t>Laid (M)</t>
  </si>
  <si>
    <t>Balance Against Issue (M)</t>
  </si>
  <si>
    <t>indent</t>
  </si>
  <si>
    <t>TOTAL</t>
  </si>
  <si>
    <t>75MM</t>
  </si>
  <si>
    <t>90MM</t>
  </si>
  <si>
    <t>110MM</t>
  </si>
  <si>
    <t>125MM</t>
  </si>
  <si>
    <t>140MM</t>
  </si>
  <si>
    <t>160MM</t>
  </si>
  <si>
    <t>Specials</t>
  </si>
  <si>
    <t>Specification</t>
  </si>
  <si>
    <t>Issue</t>
  </si>
  <si>
    <t>Laid</t>
  </si>
  <si>
    <t>Balance Against Issue</t>
  </si>
  <si>
    <t>Remarks</t>
  </si>
  <si>
    <t>INDENT</t>
  </si>
  <si>
    <t>Equal TEE</t>
  </si>
  <si>
    <t>63mm</t>
  </si>
  <si>
    <t>J-42,J-116,J-54,J-72,J-1</t>
  </si>
  <si>
    <t>803, 814</t>
  </si>
  <si>
    <t>75mm</t>
  </si>
  <si>
    <t>J-163,J-110,J-140</t>
  </si>
  <si>
    <t>90mm</t>
  </si>
  <si>
    <t>J-27,J-3</t>
  </si>
  <si>
    <t>814, 827</t>
  </si>
  <si>
    <t>110mm</t>
  </si>
  <si>
    <r>
      <t>J-130,J-129,J-83,J101,J-66,J-23,J-1,</t>
    </r>
    <r>
      <rPr>
        <sz val="11"/>
        <color rgb="FFFF0000"/>
        <rFont val="Calibri"/>
        <family val="2"/>
        <scheme val="minor"/>
      </rPr>
      <t>J-62</t>
    </r>
  </si>
  <si>
    <t>808, 816</t>
  </si>
  <si>
    <t>125mm</t>
  </si>
  <si>
    <t>140mm</t>
  </si>
  <si>
    <t>160mm</t>
  </si>
  <si>
    <t>200mm</t>
  </si>
  <si>
    <t>250mm</t>
  </si>
  <si>
    <t>63mm X 50mm</t>
  </si>
  <si>
    <t>75mm X 50mm</t>
  </si>
  <si>
    <t>90 mm X 50 mm</t>
  </si>
  <si>
    <t>110mm X 50mm</t>
  </si>
  <si>
    <t>125mm X 50mm</t>
  </si>
  <si>
    <t>140mm X 50mm</t>
  </si>
  <si>
    <t>160mm X 50mm</t>
  </si>
  <si>
    <t>75 mm X 63 mm</t>
  </si>
  <si>
    <t>J-117</t>
  </si>
  <si>
    <t>90 mm X 63 mm</t>
  </si>
  <si>
    <t>J-7, J-13, J-32,J-2,J-49</t>
  </si>
  <si>
    <t>803, 814,827,860</t>
  </si>
  <si>
    <t>90 mm X 75 mm</t>
  </si>
  <si>
    <t>J-140,J-46,J-9,J-65</t>
  </si>
  <si>
    <t>110mm X 63 mm</t>
  </si>
  <si>
    <r>
      <t>J-79,J-35,J-152,</t>
    </r>
    <r>
      <rPr>
        <sz val="11"/>
        <color rgb="FFFF0000"/>
        <rFont val="Calibri"/>
        <family val="2"/>
        <scheme val="minor"/>
      </rPr>
      <t>J-62</t>
    </r>
  </si>
  <si>
    <t>808, 860</t>
  </si>
  <si>
    <t>110mm X 75 mm</t>
  </si>
  <si>
    <t>110mm X 90 mm</t>
  </si>
  <si>
    <t>J-68</t>
  </si>
  <si>
    <t>810, 860, 868,869</t>
  </si>
  <si>
    <t>125mm X 63 mm</t>
  </si>
  <si>
    <t>125mm X75 mm</t>
  </si>
  <si>
    <t>125mm X90 mm</t>
  </si>
  <si>
    <t>125mm X 110mm</t>
  </si>
  <si>
    <t>140mm X 63 mm</t>
  </si>
  <si>
    <t>J-38,J-NEW</t>
  </si>
  <si>
    <t>816, 822, 860</t>
  </si>
  <si>
    <t>140mm X 75 mm</t>
  </si>
  <si>
    <t>J-67,J-77,J-47</t>
  </si>
  <si>
    <t>816, 822</t>
  </si>
  <si>
    <t>140mm X 90 mm</t>
  </si>
  <si>
    <t>816, 817</t>
  </si>
  <si>
    <t>140mm X 110mm</t>
  </si>
  <si>
    <t>J-17</t>
  </si>
  <si>
    <t>814, 816,822</t>
  </si>
  <si>
    <t>140mm X 125 mm</t>
  </si>
  <si>
    <t>160mm X 63 mm</t>
  </si>
  <si>
    <t>160mm X 75 mm</t>
  </si>
  <si>
    <t>160mm X 90 mm</t>
  </si>
  <si>
    <t>160mm X 110 mm</t>
  </si>
  <si>
    <t>160mm X 125 mm</t>
  </si>
  <si>
    <t>160mm X 140 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</si>
  <si>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</si>
  <si>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</si>
  <si>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</si>
  <si>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</si>
  <si>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</si>
  <si>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</si>
  <si>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</si>
  <si>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</si>
  <si>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</si>
  <si>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</si>
  <si>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</si>
  <si>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</si>
  <si>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</si>
  <si>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4-Way TEE</t>
  </si>
  <si>
    <t>Reducer</t>
  </si>
  <si>
    <t>75mm X 63 mm</t>
  </si>
  <si>
    <t>J-12,J-163,J-117,J-110</t>
  </si>
  <si>
    <t>803, 814,860,869</t>
  </si>
  <si>
    <t>90mm X 63 mm</t>
  </si>
  <si>
    <t>J-7,J-27,J-3,J-72</t>
  </si>
  <si>
    <t>803, 808, 809,814,827,868</t>
  </si>
  <si>
    <t>90mm X 75 mm</t>
  </si>
  <si>
    <t>J-3</t>
  </si>
  <si>
    <t>827, 836</t>
  </si>
  <si>
    <t>110 mm X 63 mm</t>
  </si>
  <si>
    <t>J-83,J-101,J-66,J-23,J-1</t>
  </si>
  <si>
    <t>110 mm X 75 mm</t>
  </si>
  <si>
    <t>J-130</t>
  </si>
  <si>
    <t>817, 860</t>
  </si>
  <si>
    <t>110 mm X 90 mm</t>
  </si>
  <si>
    <t>J-129</t>
  </si>
  <si>
    <t>808, 817</t>
  </si>
  <si>
    <t>125 mm X 63 mm</t>
  </si>
  <si>
    <t>125 mm X 75 mm</t>
  </si>
  <si>
    <t>125 mm X 90 mm</t>
  </si>
  <si>
    <t>J-20</t>
  </si>
  <si>
    <t>125 mm X 110 mm</t>
  </si>
  <si>
    <t>140mm X 125mm</t>
  </si>
  <si>
    <t>J-167</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</si>
  <si>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</si>
  <si>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</si>
  <si>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</si>
  <si>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</si>
  <si>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</si>
  <si>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</si>
  <si>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</si>
  <si>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</si>
  <si>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</si>
  <si>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</si>
  <si>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</si>
  <si>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</si>
  <si>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</si>
  <si>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</si>
  <si>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</si>
  <si>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</si>
  <si>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</si>
  <si>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J-199,J-155</t>
  </si>
  <si>
    <t>817 ,835,853,869</t>
  </si>
  <si>
    <t xml:space="preserve"> </t>
  </si>
  <si>
    <t>Bends</t>
  </si>
  <si>
    <t>90 Deg</t>
  </si>
  <si>
    <t>45 Deg</t>
  </si>
  <si>
    <t>811, 835</t>
  </si>
  <si>
    <t>827, 868</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</si>
  <si>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</si>
  <si>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</si>
  <si>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</si>
  <si>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</si>
  <si>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</si>
  <si>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</si>
  <si>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</si>
  <si>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</si>
  <si>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</si>
  <si>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</si>
  <si>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</si>
  <si>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</si>
  <si>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</si>
  <si>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</si>
  <si>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</si>
  <si>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</si>
  <si>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</si>
  <si>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</si>
  <si>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</si>
  <si>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</si>
  <si>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</si>
  <si>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</si>
  <si>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</si>
  <si>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</si>
  <si>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</si>
  <si>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</si>
  <si>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</si>
  <si>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</si>
  <si>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</si>
  <si>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</si>
  <si>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</si>
  <si>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63 mm HDPE</t>
  </si>
  <si>
    <t>75 mm HDPE</t>
  </si>
  <si>
    <t>90 mm HDPE</t>
  </si>
  <si>
    <t>110mm HDPE</t>
  </si>
  <si>
    <t>125mm HDPE</t>
  </si>
  <si>
    <t>140mm HDPE</t>
  </si>
  <si>
    <t>160mm HDPE</t>
  </si>
  <si>
    <t>200mm HDPE</t>
  </si>
  <si>
    <t>200mm DI K-7</t>
  </si>
  <si>
    <t>issue qty</t>
  </si>
  <si>
    <t>laying qty</t>
  </si>
  <si>
    <t>balance</t>
  </si>
  <si>
    <t>not avaliable at site</t>
  </si>
  <si>
    <t xml:space="preserve">remaks </t>
  </si>
  <si>
    <t>as per site balance quantity transfer to tanish project ltd</t>
  </si>
  <si>
    <t>Atrasand &amp; Parasupur</t>
  </si>
  <si>
    <t>DIA</t>
  </si>
  <si>
    <t>TOTALSCOPE</t>
  </si>
  <si>
    <t>PR Enterprises</t>
  </si>
  <si>
    <t>Attarsand pr</t>
  </si>
  <si>
    <t>250DI</t>
  </si>
  <si>
    <t>RETURN</t>
  </si>
  <si>
    <t>total</t>
  </si>
  <si>
    <t>j513,j461</t>
  </si>
  <si>
    <t>J-630</t>
  </si>
  <si>
    <t>j310</t>
  </si>
  <si>
    <t>J-574,J-616</t>
  </si>
  <si>
    <t>J-335,J-417,J-475,J-532,J-522,J-387,J-611,J-663,j666,j624,j411,j322,j561,j643</t>
  </si>
  <si>
    <r>
      <t>J-599,J-573,J-556,J-568,</t>
    </r>
    <r>
      <rPr>
        <sz val="11"/>
        <color rgb="FFFF0000"/>
        <rFont val="Calibri"/>
        <family val="2"/>
        <scheme val="minor"/>
      </rPr>
      <t>J-630</t>
    </r>
  </si>
  <si>
    <t>J-619,J-339</t>
  </si>
  <si>
    <t>J-733</t>
  </si>
  <si>
    <t>j368,j227,j203,j143,j593</t>
  </si>
  <si>
    <t>J-610,J-552,j</t>
  </si>
  <si>
    <t>J-450,J-433</t>
  </si>
  <si>
    <t>j-461,j-561</t>
  </si>
  <si>
    <t>J-411,j733</t>
  </si>
  <si>
    <t>J-433</t>
  </si>
  <si>
    <t>J-458,J-651,J-9,J-758,J-658,J-435</t>
  </si>
  <si>
    <t>SESFPUR ADHARGANJ</t>
  </si>
  <si>
    <t>PR ENTERPRISES</t>
  </si>
  <si>
    <t>JUNCTION NODES</t>
  </si>
  <si>
    <t>j70-140*140*110,140*90reducer</t>
  </si>
  <si>
    <t>J102</t>
  </si>
  <si>
    <t>j112-140*140*75</t>
  </si>
  <si>
    <t>2769, 2778</t>
  </si>
  <si>
    <t>j53-140*140*63</t>
  </si>
  <si>
    <t>j72-140*140*63</t>
  </si>
  <si>
    <t>2768, 2769</t>
  </si>
  <si>
    <t>J88</t>
  </si>
  <si>
    <t>j1-140*140*140</t>
  </si>
  <si>
    <t>j1-140*75reducer</t>
  </si>
  <si>
    <t>18, 2782</t>
  </si>
  <si>
    <t>j2-140*140*140*140</t>
  </si>
  <si>
    <t>j2-140*63reducer</t>
  </si>
  <si>
    <t>j157-160*160*160,160*140reducer</t>
  </si>
  <si>
    <t>j124-140*140*140*,140*110reducer</t>
  </si>
  <si>
    <t>j67-140*140*63</t>
  </si>
  <si>
    <t>j63-140*140*140*140</t>
  </si>
  <si>
    <t>j64-140*140*75</t>
  </si>
  <si>
    <t>j111-140*140*75</t>
  </si>
  <si>
    <t>J92</t>
  </si>
  <si>
    <t>2767, 2778</t>
  </si>
  <si>
    <t>18, 2768, 2769, 2778, 2782</t>
  </si>
  <si>
    <t>J62,J5,j53,j72,j67</t>
  </si>
  <si>
    <t>18, 2769, 2778, 2782</t>
  </si>
  <si>
    <t>j112,j64,j111</t>
  </si>
  <si>
    <t>18, 2768, 2782</t>
  </si>
  <si>
    <t>J91,j70</t>
  </si>
  <si>
    <t>2769, 2782</t>
  </si>
  <si>
    <t>J2,J63</t>
  </si>
  <si>
    <t>2769, 2781</t>
  </si>
  <si>
    <t>2768, 2781</t>
  </si>
  <si>
    <t>2767, 2781</t>
  </si>
  <si>
    <t>18, 2769, 2782</t>
  </si>
  <si>
    <t>J2</t>
  </si>
  <si>
    <t>18, 2778, 2782</t>
  </si>
  <si>
    <t>j70</t>
  </si>
  <si>
    <t>2767, 2782</t>
  </si>
  <si>
    <t>18 ,2768, 2782</t>
  </si>
  <si>
    <t>2778, 2779</t>
  </si>
  <si>
    <t>SURYAGARH JAGANNATH</t>
  </si>
  <si>
    <t>TOTAL SCOPE</t>
  </si>
  <si>
    <t>PR TO RAMPRABH</t>
  </si>
  <si>
    <t>sesh</t>
  </si>
  <si>
    <t>RETURN SITE TO SITE TRANSFER</t>
  </si>
  <si>
    <t>Seshpur adharganj,Attarsand,Suryagarh jaganath</t>
  </si>
  <si>
    <t>REMARKS</t>
  </si>
  <si>
    <t>MATRIAL SHIFTED TO RAMPRABAV CONSTRUCTION</t>
  </si>
  <si>
    <t>agency- AGS CONSTRUCTION</t>
  </si>
  <si>
    <t>BARASARAI,Attarsand,MADHURA RANI GANJ</t>
  </si>
  <si>
    <t>BHATI KHURD</t>
  </si>
  <si>
    <t xml:space="preserve">  </t>
  </si>
  <si>
    <t>600 mtr shifted to tanish</t>
  </si>
  <si>
    <t>issue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</si>
</sst>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64" formatCode="0.000"/>
    <numFmt numFmtId="165" formatCode="_ * #,##0.00_ ;_ * \-#,##0.00_ ;_ * &quot;-&quot;_ ;_ @_ "/>
    <numFmt numFmtId="166" formatCode="_ * #,##0.000_ ;_ * \-#,##0.000_ ;_ * &quot;-&quot;??_ ;_ @_ "/>
    <numFmt numFmtId="167" formatCode="_(* #,##0.00_);_(* \(#,##0.00\);_(* &quot;-&quot;??_);_(@_)"/>
    <numFmt numFmtId="168" formatCode="General&quot; mm&quot;"/>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4"/>
      <color rgb="FF333399"/>
      <name val="Verdana"/>
      <family val="2"/>
    </font>
    <font>
      <b/>
      <sz val="12"/>
      <name val="Verdana"/>
      <family val="2"/>
    </font>
    <font>
      <b/>
      <sz val="10"/>
      <name val="Verdana"/>
      <family val="2"/>
    </font>
    <font>
      <b/>
      <sz val="10"/>
      <color rgb="FFFF0000"/>
      <name val="Verdana"/>
      <family val="2"/>
    </font>
    <font>
      <b/>
      <sz val="11"/>
      <name val="Verdana"/>
      <family val="2"/>
    </font>
    <font>
      <sz val="10"/>
      <name val="Verdana"/>
      <family val="2"/>
    </font>
    <font>
      <sz val="10"/>
      <color rgb="FFFF0000"/>
      <name val="Verdana"/>
      <family val="2"/>
    </font>
    <font>
      <sz val="11"/>
      <name val="Verdana"/>
      <family val="2"/>
    </font>
    <font>
      <b/>
      <sz val="11"/>
      <color rgb="FF333399"/>
      <name val="Verdana"/>
      <family val="2"/>
    </font>
    <font>
      <sz val="14"/>
      <color rgb="FF333399"/>
      <name val="Arial Black"/>
      <family val="2"/>
    </font>
    <font>
      <sz val="10"/>
      <name val="Arial Black"/>
      <family val="2"/>
    </font>
    <font>
      <sz val="10"/>
      <color rgb="FF000000"/>
      <name val="Times New Roman"/>
      <family val="1"/>
    </font>
    <font>
      <b/>
      <sz val="10"/>
      <color rgb="FF000000"/>
      <name val="Calibri"/>
      <family val="2"/>
    </font>
    <font>
      <b/>
      <sz val="10"/>
      <name val="Calibri"/>
      <family val="2"/>
      <scheme val="minor"/>
    </font>
    <font>
      <b/>
      <sz val="9"/>
      <name val="Calibri"/>
      <family val="2"/>
      <scheme val="minor"/>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2"/>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12"/>
      <color rgb="FFFF0000"/>
      <name val="Calibri"/>
      <family val="2"/>
      <scheme val="minor"/>
    </font>
    <font>
      <b/>
      <sz val="14"/>
      <color rgb="FFFF0000"/>
      <name val="Calibri"/>
      <family val="2"/>
      <scheme val="minor"/>
    </font>
    <font>
      <sz val="16"/>
      <color rgb="FFFF0000"/>
      <name val="Calibri"/>
      <family val="2"/>
      <scheme val="minor"/>
    </font>
    <font>
      <sz val="10"/>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auto="1"/>
      </left>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4" fillId="0" borderId="0"/>
    <xf numFmtId="43" fontId="1" fillId="0" borderId="0" applyFont="0" applyFill="0" applyBorder="0" applyAlignment="0" applyProtection="0"/>
    <xf numFmtId="0" fontId="16" fillId="0" borderId="0"/>
  </cellStyleXfs>
  <cellXfs count="264">
    <xf numFmtId="0" fontId="0" fillId="0" borderId="0" xfId="0"/>
    <xf numFmtId="0" fontId="6" fillId="0" borderId="1" xfId="2" applyFont="1" applyBorder="1" applyAlignment="1">
      <alignment horizontal="center" vertical="center"/>
    </xf>
    <xf numFmtId="0" fontId="6" fillId="0" borderId="1" xfId="2" applyFont="1" applyBorder="1" applyAlignment="1">
      <alignment horizontal="left" vertical="center"/>
    </xf>
    <xf numFmtId="0" fontId="6" fillId="0" borderId="2" xfId="2" applyFont="1" applyBorder="1" applyAlignment="1">
      <alignment horizontal="center" vertical="center"/>
    </xf>
    <xf numFmtId="0" fontId="6" fillId="0" borderId="1" xfId="2" applyFont="1" applyBorder="1" applyAlignment="1">
      <alignment horizontal="right" vertical="center"/>
    </xf>
    <xf numFmtId="0" fontId="6" fillId="0" borderId="3" xfId="2" applyFont="1" applyBorder="1" applyAlignment="1">
      <alignment horizontal="center" vertical="center"/>
    </xf>
    <xf numFmtId="0" fontId="6" fillId="0" borderId="2" xfId="2" applyFont="1" applyBorder="1" applyAlignment="1">
      <alignment vertical="center"/>
    </xf>
    <xf numFmtId="0" fontId="6" fillId="0" borderId="4" xfId="2" applyFont="1" applyBorder="1" applyAlignment="1">
      <alignment vertical="center"/>
    </xf>
    <xf numFmtId="0" fontId="7" fillId="2" borderId="1" xfId="0" applyFont="1" applyFill="1" applyBorder="1" applyAlignment="1">
      <alignment vertical="center" wrapText="1"/>
    </xf>
    <xf numFmtId="0" fontId="8"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xf>
    <xf numFmtId="0" fontId="10"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43" fontId="12" fillId="0" borderId="1" xfId="3" applyFont="1" applyFill="1" applyBorder="1" applyAlignment="1">
      <alignment horizontal="center" vertical="center" wrapText="1"/>
    </xf>
    <xf numFmtId="43" fontId="10" fillId="0" borderId="1" xfId="3" applyFont="1" applyFill="1" applyBorder="1" applyAlignment="1">
      <alignment horizontal="center" vertical="center" wrapText="1"/>
    </xf>
    <xf numFmtId="43" fontId="10" fillId="3" borderId="1" xfId="3" applyFont="1" applyFill="1" applyBorder="1" applyAlignment="1">
      <alignment horizontal="center" vertical="center" wrapText="1"/>
    </xf>
    <xf numFmtId="43" fontId="11" fillId="0" borderId="1" xfId="3"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7" xfId="2" applyFont="1" applyBorder="1" applyAlignment="1">
      <alignment horizontal="center" vertical="center" wrapText="1"/>
    </xf>
    <xf numFmtId="0" fontId="5" fillId="0" borderId="0" xfId="2" applyFont="1" applyBorder="1" applyAlignment="1">
      <alignment horizontal="center" vertical="center" wrapText="1"/>
    </xf>
    <xf numFmtId="0" fontId="5" fillId="0" borderId="8" xfId="2" applyFont="1" applyBorder="1" applyAlignment="1">
      <alignment horizontal="center" vertical="center" wrapText="1"/>
    </xf>
    <xf numFmtId="0" fontId="13" fillId="0" borderId="0" xfId="2" applyFont="1" applyAlignment="1">
      <alignment horizontal="center" vertical="center" wrapText="1"/>
    </xf>
    <xf numFmtId="0" fontId="14" fillId="0" borderId="0" xfId="2" applyFont="1" applyAlignment="1">
      <alignment vertical="center" wrapText="1"/>
    </xf>
    <xf numFmtId="0" fontId="5" fillId="6" borderId="0" xfId="2" applyFont="1" applyFill="1" applyAlignment="1">
      <alignment horizontal="center" vertical="center" wrapText="1"/>
    </xf>
    <xf numFmtId="0" fontId="0" fillId="0" borderId="0" xfId="0" applyAlignment="1">
      <alignment vertical="center"/>
    </xf>
    <xf numFmtId="0" fontId="6" fillId="0" borderId="7" xfId="2" applyFont="1" applyBorder="1" applyAlignment="1">
      <alignment horizontal="center" vertical="center"/>
    </xf>
    <xf numFmtId="0" fontId="6" fillId="0" borderId="0" xfId="2" applyFont="1" applyBorder="1" applyAlignment="1">
      <alignment horizontal="center" vertical="center"/>
    </xf>
    <xf numFmtId="0" fontId="6" fillId="0" borderId="8" xfId="2" applyFont="1" applyBorder="1" applyAlignment="1">
      <alignment horizontal="center" vertical="center"/>
    </xf>
    <xf numFmtId="0" fontId="9" fillId="0" borderId="0" xfId="2" applyFont="1" applyAlignment="1">
      <alignment horizontal="center" vertical="center"/>
    </xf>
    <xf numFmtId="0" fontId="15" fillId="0" borderId="0" xfId="2" applyFont="1" applyAlignment="1">
      <alignment vertical="center" wrapText="1"/>
    </xf>
    <xf numFmtId="0" fontId="6" fillId="6" borderId="0" xfId="2" applyFont="1" applyFill="1" applyAlignment="1">
      <alignment horizontal="center" vertical="center"/>
    </xf>
    <xf numFmtId="165" fontId="17" fillId="7" borderId="1" xfId="4" applyNumberFormat="1" applyFont="1" applyFill="1" applyBorder="1" applyAlignment="1">
      <alignment horizontal="center" vertical="center"/>
    </xf>
    <xf numFmtId="0" fontId="6" fillId="8" borderId="0" xfId="2" applyFont="1" applyFill="1" applyBorder="1" applyAlignment="1">
      <alignment horizontal="center" vertical="center"/>
    </xf>
    <xf numFmtId="165" fontId="17" fillId="7" borderId="0" xfId="4" applyNumberFormat="1" applyFont="1" applyFill="1" applyBorder="1" applyAlignment="1">
      <alignment horizontal="center" vertical="center"/>
    </xf>
    <xf numFmtId="0" fontId="18" fillId="2" borderId="0" xfId="0" applyFont="1" applyFill="1"/>
    <xf numFmtId="164" fontId="10" fillId="8" borderId="1" xfId="0" applyNumberFormat="1" applyFont="1" applyFill="1" applyBorder="1" applyAlignment="1">
      <alignment horizontal="center" vertical="center"/>
    </xf>
    <xf numFmtId="0" fontId="19" fillId="4" borderId="0" xfId="0" applyFont="1" applyFill="1"/>
    <xf numFmtId="164" fontId="10" fillId="6" borderId="1" xfId="0" applyNumberFormat="1" applyFont="1" applyFill="1" applyBorder="1" applyAlignment="1">
      <alignment horizontal="center" vertical="center"/>
    </xf>
    <xf numFmtId="0" fontId="19" fillId="0" borderId="0" xfId="0" applyFont="1"/>
    <xf numFmtId="43" fontId="10" fillId="6" borderId="1" xfId="3" applyFont="1" applyFill="1" applyBorder="1" applyAlignment="1">
      <alignment horizontal="center" vertical="center" wrapText="1"/>
    </xf>
    <xf numFmtId="0" fontId="20" fillId="2" borderId="1" xfId="0" applyFont="1" applyFill="1" applyBorder="1" applyAlignment="1">
      <alignment horizontal="right" vertical="center" wrapText="1"/>
    </xf>
    <xf numFmtId="0" fontId="20" fillId="2" borderId="1" xfId="0" applyFont="1" applyFill="1" applyBorder="1" applyAlignment="1">
      <alignment horizontal="right" vertical="center"/>
    </xf>
    <xf numFmtId="41" fontId="21" fillId="2" borderId="1" xfId="1" applyNumberFormat="1" applyFont="1" applyFill="1" applyBorder="1" applyAlignment="1">
      <alignment horizontal="center" vertical="center" wrapText="1"/>
    </xf>
    <xf numFmtId="41" fontId="21" fillId="3" borderId="1" xfId="1" applyNumberFormat="1" applyFont="1" applyFill="1" applyBorder="1" applyAlignment="1">
      <alignment horizontal="center" vertical="center" wrapText="1"/>
    </xf>
    <xf numFmtId="2" fontId="22" fillId="2" borderId="1" xfId="1" applyNumberFormat="1" applyFont="1" applyFill="1" applyBorder="1" applyAlignment="1">
      <alignment horizontal="center" vertical="center" wrapText="1"/>
    </xf>
    <xf numFmtId="0" fontId="21" fillId="2" borderId="1" xfId="0" applyFont="1" applyFill="1" applyBorder="1" applyAlignment="1">
      <alignment horizontal="right" vertical="center"/>
    </xf>
    <xf numFmtId="0" fontId="23" fillId="2" borderId="0" xfId="0" applyFont="1" applyFill="1" applyAlignment="1">
      <alignment horizontal="right"/>
    </xf>
    <xf numFmtId="0" fontId="21" fillId="6" borderId="1" xfId="0" applyFont="1" applyFill="1" applyBorder="1" applyAlignment="1">
      <alignment horizontal="right" vertical="center"/>
    </xf>
    <xf numFmtId="41" fontId="10" fillId="4" borderId="1" xfId="0" applyNumberFormat="1" applyFont="1" applyFill="1" applyBorder="1" applyAlignment="1">
      <alignment horizontal="center" vertical="center" wrapText="1"/>
    </xf>
    <xf numFmtId="41" fontId="10" fillId="3"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xf>
    <xf numFmtId="0" fontId="0" fillId="4" borderId="0" xfId="0" applyFill="1"/>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41"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0" fillId="0" borderId="1" xfId="0" applyNumberFormat="1" applyFont="1" applyBorder="1" applyAlignment="1">
      <alignment horizontal="center" vertical="center"/>
    </xf>
    <xf numFmtId="0" fontId="4" fillId="0" borderId="0" xfId="0" applyFont="1"/>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4" fillId="0" borderId="0" xfId="0" applyFont="1" applyFill="1"/>
    <xf numFmtId="43" fontId="7" fillId="6" borderId="1" xfId="3" applyFont="1" applyFill="1" applyBorder="1" applyAlignment="1">
      <alignment horizontal="center" vertical="center" wrapText="1"/>
    </xf>
    <xf numFmtId="41" fontId="10" fillId="0" borderId="1" xfId="3" applyNumberFormat="1" applyFont="1" applyFill="1" applyBorder="1" applyAlignment="1">
      <alignment horizontal="center" vertical="center" wrapText="1"/>
    </xf>
    <xf numFmtId="166" fontId="11" fillId="0" borderId="1" xfId="3"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24" fillId="0" borderId="0" xfId="0" applyFont="1"/>
    <xf numFmtId="0" fontId="10" fillId="6" borderId="1" xfId="0" applyFont="1" applyFill="1" applyBorder="1" applyAlignment="1">
      <alignment horizontal="center" vertical="center" wrapText="1"/>
    </xf>
    <xf numFmtId="0" fontId="0" fillId="0" borderId="1" xfId="0" applyFont="1" applyBorder="1" applyAlignment="1">
      <alignment vertical="top"/>
    </xf>
    <xf numFmtId="0" fontId="25" fillId="5"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21" fillId="2" borderId="1" xfId="0" applyFont="1" applyFill="1" applyBorder="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center" vertical="center" wrapText="1"/>
    </xf>
    <xf numFmtId="0" fontId="20" fillId="0" borderId="7" xfId="0" applyFont="1" applyBorder="1" applyAlignment="1">
      <alignment horizontal="center" vertical="center"/>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20" fillId="6" borderId="0" xfId="0" applyFont="1" applyFill="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9" fillId="0" borderId="0" xfId="0" applyFont="1" applyAlignment="1">
      <alignment horizontal="center" vertical="center"/>
    </xf>
    <xf numFmtId="0" fontId="27" fillId="0" borderId="0" xfId="0" applyFont="1" applyAlignment="1">
      <alignment vertical="center"/>
    </xf>
    <xf numFmtId="0" fontId="7" fillId="6" borderId="0" xfId="0" applyFont="1" applyFill="1" applyAlignment="1">
      <alignment horizontal="center" vertical="center"/>
    </xf>
    <xf numFmtId="0" fontId="0" fillId="0" borderId="0" xfId="0" applyAlignment="1">
      <alignment vertical="top"/>
    </xf>
    <xf numFmtId="0" fontId="28"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7" xfId="0" applyBorder="1"/>
    <xf numFmtId="0" fontId="0" fillId="0" borderId="0" xfId="0" applyBorder="1"/>
    <xf numFmtId="0" fontId="0" fillId="0" borderId="8" xfId="0" applyBorder="1"/>
    <xf numFmtId="0" fontId="29" fillId="0" borderId="0" xfId="0" applyFont="1"/>
    <xf numFmtId="0" fontId="0" fillId="6" borderId="0" xfId="0" applyFill="1"/>
    <xf numFmtId="0" fontId="7" fillId="3"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164" fontId="9" fillId="8" borderId="1" xfId="0" applyNumberFormat="1" applyFont="1" applyFill="1" applyBorder="1" applyAlignment="1">
      <alignment horizontal="center" vertical="center"/>
    </xf>
    <xf numFmtId="0" fontId="19" fillId="4" borderId="1" xfId="0" applyFont="1" applyFill="1" applyBorder="1"/>
    <xf numFmtId="43" fontId="9" fillId="0" borderId="1" xfId="3" applyFont="1" applyFill="1" applyBorder="1" applyAlignment="1">
      <alignment horizontal="center" vertical="center" wrapText="1"/>
    </xf>
    <xf numFmtId="0" fontId="19" fillId="0" borderId="1" xfId="0" applyFont="1" applyBorder="1"/>
    <xf numFmtId="43" fontId="19" fillId="0" borderId="1" xfId="0" applyNumberFormat="1" applyFont="1" applyBorder="1"/>
    <xf numFmtId="0" fontId="23" fillId="2" borderId="1" xfId="0" applyFont="1" applyFill="1" applyBorder="1" applyAlignment="1">
      <alignment horizontal="right"/>
    </xf>
    <xf numFmtId="164" fontId="9" fillId="4" borderId="1" xfId="0" applyNumberFormat="1" applyFont="1" applyFill="1" applyBorder="1" applyAlignment="1">
      <alignment horizontal="center" vertical="center"/>
    </xf>
    <xf numFmtId="0" fontId="0" fillId="4" borderId="1" xfId="0" applyFill="1" applyBorder="1"/>
    <xf numFmtId="0" fontId="4" fillId="0" borderId="1" xfId="0" applyFont="1" applyBorder="1"/>
    <xf numFmtId="0" fontId="24" fillId="0" borderId="1" xfId="0" applyFont="1" applyFill="1" applyBorder="1"/>
    <xf numFmtId="164" fontId="9" fillId="0" borderId="1" xfId="0" applyNumberFormat="1" applyFont="1" applyBorder="1" applyAlignment="1">
      <alignment horizontal="center" vertical="center"/>
    </xf>
    <xf numFmtId="0" fontId="0" fillId="0" borderId="1" xfId="0" applyBorder="1"/>
    <xf numFmtId="0" fontId="24" fillId="0" borderId="1" xfId="0" applyFont="1" applyBorder="1"/>
    <xf numFmtId="0" fontId="30" fillId="5" borderId="1" xfId="0" applyFont="1" applyFill="1" applyBorder="1"/>
    <xf numFmtId="0" fontId="0" fillId="5" borderId="1" xfId="0" applyFill="1" applyBorder="1"/>
    <xf numFmtId="0" fontId="0" fillId="5" borderId="2" xfId="0" applyFill="1" applyBorder="1"/>
    <xf numFmtId="0" fontId="0" fillId="5" borderId="3" xfId="0" applyFill="1" applyBorder="1"/>
    <xf numFmtId="0" fontId="30" fillId="5" borderId="2" xfId="0" applyFont="1" applyFill="1" applyBorder="1"/>
    <xf numFmtId="0" fontId="30" fillId="5" borderId="4" xfId="0" applyFont="1" applyFill="1" applyBorder="1"/>
    <xf numFmtId="0" fontId="30" fillId="5" borderId="3" xfId="0" applyFont="1" applyFill="1" applyBorder="1"/>
    <xf numFmtId="0" fontId="30" fillId="5" borderId="2" xfId="0" applyFont="1" applyFill="1" applyBorder="1" applyAlignment="1">
      <alignment vertical="center"/>
    </xf>
    <xf numFmtId="0" fontId="30" fillId="5" borderId="4" xfId="0" applyFont="1" applyFill="1" applyBorder="1" applyAlignment="1">
      <alignment vertical="center"/>
    </xf>
    <xf numFmtId="0" fontId="30" fillId="5" borderId="3" xfId="0" applyFont="1" applyFill="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0" fillId="5" borderId="10"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6" borderId="3" xfId="0" applyFill="1" applyBorder="1" applyAlignment="1">
      <alignment horizontal="center" vertical="center"/>
    </xf>
    <xf numFmtId="0" fontId="32" fillId="6" borderId="1" xfId="0" applyFont="1" applyFill="1" applyBorder="1" applyAlignment="1">
      <alignment horizontal="center" vertical="center"/>
    </xf>
    <xf numFmtId="14" fontId="32" fillId="6" borderId="1" xfId="0" applyNumberFormat="1"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5" borderId="0" xfId="0" applyFill="1"/>
    <xf numFmtId="14" fontId="34" fillId="0" borderId="0" xfId="0" applyNumberFormat="1" applyFont="1" applyAlignment="1">
      <alignment horizontal="center" vertical="center"/>
    </xf>
    <xf numFmtId="0" fontId="30" fillId="5" borderId="1" xfId="0" applyFont="1" applyFill="1"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0" fillId="5" borderId="1" xfId="0" applyFill="1" applyBorder="1" applyAlignment="1">
      <alignment horizontal="center"/>
    </xf>
    <xf numFmtId="0" fontId="2" fillId="5" borderId="1" xfId="0" applyFont="1" applyFill="1" applyBorder="1" applyAlignment="1">
      <alignment horizontal="center"/>
    </xf>
    <xf numFmtId="0" fontId="0" fillId="10" borderId="1" xfId="0" applyFill="1" applyBorder="1" applyAlignment="1">
      <alignment horizontal="left" vertical="center"/>
    </xf>
    <xf numFmtId="0" fontId="35" fillId="0" borderId="1" xfId="0" applyFont="1" applyBorder="1" applyAlignment="1">
      <alignment horizontal="center" vertical="center"/>
    </xf>
    <xf numFmtId="0" fontId="35" fillId="0" borderId="1" xfId="0" applyFont="1" applyBorder="1" applyAlignment="1">
      <alignment horizontal="left" vertical="center"/>
    </xf>
    <xf numFmtId="0" fontId="3" fillId="5" borderId="1" xfId="0" applyFont="1" applyFill="1" applyBorder="1" applyAlignment="1">
      <alignment horizontal="center" vertical="center"/>
    </xf>
    <xf numFmtId="0" fontId="0" fillId="5" borderId="1" xfId="0" applyFill="1" applyBorder="1" applyAlignment="1">
      <alignment horizontal="left"/>
    </xf>
    <xf numFmtId="0" fontId="0" fillId="0" borderId="1" xfId="0" applyBorder="1" applyAlignment="1">
      <alignment horizontal="left"/>
    </xf>
    <xf numFmtId="0" fontId="0" fillId="5" borderId="1" xfId="0" applyFill="1" applyBorder="1" applyAlignment="1">
      <alignment horizontal="left" wrapText="1"/>
    </xf>
    <xf numFmtId="0" fontId="6" fillId="8" borderId="4" xfId="0" applyFont="1" applyFill="1" applyBorder="1" applyAlignment="1">
      <alignment vertical="center" wrapText="1"/>
    </xf>
    <xf numFmtId="0" fontId="7" fillId="6" borderId="10" xfId="0" applyFont="1" applyFill="1" applyBorder="1" applyAlignment="1">
      <alignment horizontal="center" vertical="center" wrapText="1"/>
    </xf>
    <xf numFmtId="0" fontId="15" fillId="0" borderId="1" xfId="2" applyFont="1" applyBorder="1" applyAlignment="1">
      <alignment vertical="center" wrapText="1"/>
    </xf>
    <xf numFmtId="167" fontId="0" fillId="0" borderId="1" xfId="0" applyNumberFormat="1" applyBorder="1" applyAlignment="1">
      <alignment horizontal="center"/>
    </xf>
    <xf numFmtId="43" fontId="0" fillId="0" borderId="1" xfId="0" applyNumberFormat="1" applyBorder="1" applyAlignment="1">
      <alignment horizont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0" fillId="5" borderId="1" xfId="0" applyFont="1" applyFill="1" applyBorder="1" applyAlignment="1">
      <alignment horizontal="left" vertical="center"/>
    </xf>
    <xf numFmtId="0" fontId="0" fillId="0" borderId="1" xfId="0" applyBorder="1" applyAlignment="1">
      <alignment horizontal="center" vertical="center"/>
    </xf>
    <xf numFmtId="14" fontId="36" fillId="5" borderId="15" xfId="0" applyNumberFormat="1" applyFont="1" applyFill="1" applyBorder="1" applyAlignment="1">
      <alignment horizontal="center" vertical="center"/>
    </xf>
    <xf numFmtId="0" fontId="0" fillId="5" borderId="15" xfId="0" applyFill="1" applyBorder="1"/>
    <xf numFmtId="0" fontId="0" fillId="0" borderId="0" xfId="0" applyAlignment="1">
      <alignment horizontal="left"/>
    </xf>
    <xf numFmtId="0" fontId="30" fillId="5" borderId="17" xfId="0" applyFont="1" applyFill="1" applyBorder="1"/>
    <xf numFmtId="0" fontId="0" fillId="5" borderId="0" xfId="0" applyFill="1" applyAlignment="1">
      <alignment horizontal="left"/>
    </xf>
    <xf numFmtId="0" fontId="30" fillId="5" borderId="10" xfId="0" applyFont="1" applyFill="1" applyBorder="1"/>
    <xf numFmtId="0" fontId="0" fillId="5" borderId="16" xfId="0" applyFill="1" applyBorder="1"/>
    <xf numFmtId="0" fontId="0" fillId="5" borderId="3" xfId="0" applyFill="1" applyBorder="1" applyAlignment="1">
      <alignment horizontal="center" vertical="center"/>
    </xf>
    <xf numFmtId="0" fontId="32" fillId="5" borderId="1" xfId="0" applyFont="1" applyFill="1" applyBorder="1" applyAlignment="1">
      <alignment horizontal="center" vertical="center"/>
    </xf>
    <xf numFmtId="14" fontId="3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32" fillId="0" borderId="1" xfId="0" applyFont="1" applyBorder="1" applyAlignment="1">
      <alignment horizontal="center"/>
    </xf>
    <xf numFmtId="0" fontId="32" fillId="0" borderId="1" xfId="0" applyFont="1" applyBorder="1" applyAlignment="1">
      <alignment horizontal="center" wrapText="1"/>
    </xf>
    <xf numFmtId="0" fontId="32" fillId="5" borderId="1" xfId="0" applyFont="1" applyFill="1" applyBorder="1" applyAlignment="1">
      <alignment horizontal="center"/>
    </xf>
    <xf numFmtId="0" fontId="32" fillId="5" borderId="0" xfId="0" applyFont="1" applyFill="1"/>
    <xf numFmtId="0" fontId="32" fillId="0" borderId="0" xfId="0" applyFont="1"/>
    <xf numFmtId="0" fontId="30" fillId="5" borderId="2" xfId="0" applyFont="1" applyFill="1" applyBorder="1" applyAlignment="1">
      <alignment horizontal="left" vertical="center"/>
    </xf>
    <xf numFmtId="0" fontId="0" fillId="5" borderId="4" xfId="0" applyFill="1" applyBorder="1" applyAlignment="1">
      <alignment horizontal="left"/>
    </xf>
    <xf numFmtId="0" fontId="0" fillId="5" borderId="2" xfId="0"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0" fontId="0" fillId="5" borderId="13" xfId="0" applyFill="1" applyBorder="1"/>
    <xf numFmtId="0" fontId="0" fillId="5" borderId="3" xfId="0" applyFill="1" applyBorder="1" applyAlignment="1">
      <alignment horizontal="left"/>
    </xf>
    <xf numFmtId="0" fontId="0" fillId="0" borderId="17" xfId="0" applyBorder="1" applyAlignment="1">
      <alignment horizontal="center" vertical="center" wrapText="1"/>
    </xf>
    <xf numFmtId="0" fontId="35" fillId="0" borderId="1" xfId="0" applyFont="1" applyBorder="1" applyAlignment="1">
      <alignment vertical="center"/>
    </xf>
    <xf numFmtId="168" fontId="30" fillId="11" borderId="1" xfId="0" applyNumberFormat="1" applyFont="1" applyFill="1" applyBorder="1" applyAlignment="1">
      <alignment horizontal="center" vertical="center" wrapText="1"/>
    </xf>
    <xf numFmtId="0" fontId="3" fillId="5" borderId="3" xfId="0" applyFont="1" applyFill="1" applyBorder="1"/>
    <xf numFmtId="0" fontId="3" fillId="0" borderId="1" xfId="0" applyFont="1" applyBorder="1" applyAlignment="1">
      <alignment horizontal="center"/>
    </xf>
    <xf numFmtId="0" fontId="3" fillId="0" borderId="1" xfId="0" applyFont="1" applyBorder="1" applyAlignment="1">
      <alignment horizontal="center" wrapText="1"/>
    </xf>
    <xf numFmtId="14" fontId="0" fillId="0" borderId="1" xfId="0" applyNumberFormat="1" applyBorder="1" applyAlignment="1">
      <alignment horizontal="center" vertical="center"/>
    </xf>
    <xf numFmtId="14" fontId="0" fillId="0" borderId="1" xfId="0" applyNumberFormat="1" applyBorder="1"/>
    <xf numFmtId="0" fontId="37" fillId="5" borderId="1" xfId="0" applyFont="1" applyFill="1"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xf>
    <xf numFmtId="14" fontId="0" fillId="5" borderId="1" xfId="0" applyNumberFormat="1" applyFill="1" applyBorder="1" applyAlignment="1">
      <alignment horizontal="center"/>
    </xf>
    <xf numFmtId="0" fontId="0" fillId="0" borderId="0" xfId="0" applyFill="1" applyBorder="1" applyAlignment="1">
      <alignment horizontal="center" vertical="center" wrapText="1"/>
    </xf>
    <xf numFmtId="0" fontId="0" fillId="0" borderId="1" xfId="0" applyBorder="1" applyAlignment="1">
      <alignment horizontal="center"/>
    </xf>
    <xf numFmtId="0" fontId="3" fillId="0" borderId="1" xfId="0" applyFont="1" applyBorder="1"/>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10" borderId="1"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1" fillId="9" borderId="2" xfId="0" applyFont="1" applyFill="1" applyBorder="1" applyAlignment="1">
      <alignment horizontal="center" vertical="center"/>
    </xf>
    <xf numFmtId="0" fontId="31" fillId="9" borderId="4" xfId="0" applyFont="1" applyFill="1" applyBorder="1" applyAlignment="1">
      <alignment horizontal="center" vertical="center"/>
    </xf>
    <xf numFmtId="0" fontId="31" fillId="9" borderId="3"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1" xfId="0" applyFont="1" applyFill="1" applyBorder="1" applyAlignment="1">
      <alignment horizontal="left" vertical="center"/>
    </xf>
    <xf numFmtId="0" fontId="30" fillId="5"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33" fillId="5" borderId="5" xfId="0" applyFont="1" applyFill="1" applyBorder="1" applyAlignment="1">
      <alignment horizontal="center" vertical="center"/>
    </xf>
    <xf numFmtId="0" fontId="31" fillId="9" borderId="17" xfId="0" applyFont="1" applyFill="1" applyBorder="1" applyAlignment="1">
      <alignment horizontal="center" vertical="center"/>
    </xf>
    <xf numFmtId="0" fontId="31" fillId="9" borderId="0" xfId="0" applyFont="1" applyFill="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31" fillId="9" borderId="14" xfId="0" applyFont="1" applyFill="1" applyBorder="1" applyAlignment="1">
      <alignment horizontal="center" vertical="center"/>
    </xf>
    <xf numFmtId="0" fontId="31" fillId="9" borderId="15" xfId="0" applyFont="1" applyFill="1" applyBorder="1" applyAlignment="1">
      <alignment horizontal="center" vertical="center"/>
    </xf>
    <xf numFmtId="0" fontId="31" fillId="9" borderId="10" xfId="0" applyFont="1" applyFill="1" applyBorder="1" applyAlignment="1">
      <alignment horizontal="center" vertical="center"/>
    </xf>
    <xf numFmtId="0" fontId="31" fillId="9" borderId="16"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18" fillId="2" borderId="1" xfId="0" applyFont="1" applyFill="1" applyBorder="1" applyAlignment="1">
      <alignment horizontal="center" vertical="center"/>
    </xf>
    <xf numFmtId="0" fontId="7" fillId="0" borderId="0" xfId="0" applyFont="1" applyAlignment="1">
      <alignment horizontal="center" vertical="center"/>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5" fillId="0" borderId="0" xfId="2" applyFont="1" applyAlignment="1">
      <alignment horizontal="center" vertical="center" wrapText="1"/>
    </xf>
    <xf numFmtId="0" fontId="6" fillId="0" borderId="0" xfId="2" applyFont="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3" fillId="0" borderId="1" xfId="0" applyFont="1" applyBorder="1" applyAlignment="1">
      <alignment horizontal="center"/>
    </xf>
  </cellXfs>
  <cellStyles count="5">
    <cellStyle name="Comma" xfId="1" builtinId="3"/>
    <cellStyle name="Comma 4" xfId="3"/>
    <cellStyle name="Normal" xfId="0" builtinId="0"/>
    <cellStyle name="Normal 2 2" xfId="2"/>
    <cellStyle name="Normal 9" xfId="4"/>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0.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63" Type="http://schemas.openxmlformats.org/officeDocument/2006/relationships/externalLink" Target="externalLinks/externalLink56.xml"/><Relationship Id="rId84" Type="http://schemas.openxmlformats.org/officeDocument/2006/relationships/externalLink" Target="externalLinks/externalLink77.xml"/><Relationship Id="rId138" Type="http://schemas.openxmlformats.org/officeDocument/2006/relationships/externalLink" Target="externalLinks/externalLink131.xml"/><Relationship Id="rId159" Type="http://schemas.openxmlformats.org/officeDocument/2006/relationships/externalLink" Target="externalLinks/externalLink152.xml"/><Relationship Id="rId107" Type="http://schemas.openxmlformats.org/officeDocument/2006/relationships/externalLink" Target="externalLinks/externalLink100.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53" Type="http://schemas.openxmlformats.org/officeDocument/2006/relationships/externalLink" Target="externalLinks/externalLink46.xml"/><Relationship Id="rId74" Type="http://schemas.openxmlformats.org/officeDocument/2006/relationships/externalLink" Target="externalLinks/externalLink67.xml"/><Relationship Id="rId128" Type="http://schemas.openxmlformats.org/officeDocument/2006/relationships/externalLink" Target="externalLinks/externalLink121.xml"/><Relationship Id="rId149" Type="http://schemas.openxmlformats.org/officeDocument/2006/relationships/externalLink" Target="externalLinks/externalLink142.xml"/><Relationship Id="rId5" Type="http://schemas.openxmlformats.org/officeDocument/2006/relationships/worksheet" Target="worksheets/sheet5.xml"/><Relationship Id="rId95" Type="http://schemas.openxmlformats.org/officeDocument/2006/relationships/externalLink" Target="externalLinks/externalLink88.xml"/><Relationship Id="rId160" Type="http://schemas.openxmlformats.org/officeDocument/2006/relationships/externalLink" Target="externalLinks/externalLink153.xml"/><Relationship Id="rId22" Type="http://schemas.openxmlformats.org/officeDocument/2006/relationships/externalLink" Target="externalLinks/externalLink15.xml"/><Relationship Id="rId43" Type="http://schemas.openxmlformats.org/officeDocument/2006/relationships/externalLink" Target="externalLinks/externalLink36.xml"/><Relationship Id="rId64" Type="http://schemas.openxmlformats.org/officeDocument/2006/relationships/externalLink" Target="externalLinks/externalLink57.xml"/><Relationship Id="rId118" Type="http://schemas.openxmlformats.org/officeDocument/2006/relationships/externalLink" Target="externalLinks/externalLink111.xml"/><Relationship Id="rId139" Type="http://schemas.openxmlformats.org/officeDocument/2006/relationships/externalLink" Target="externalLinks/externalLink132.xml"/><Relationship Id="rId85" Type="http://schemas.openxmlformats.org/officeDocument/2006/relationships/externalLink" Target="externalLinks/externalLink78.xml"/><Relationship Id="rId150" Type="http://schemas.openxmlformats.org/officeDocument/2006/relationships/externalLink" Target="externalLinks/externalLink14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59" Type="http://schemas.openxmlformats.org/officeDocument/2006/relationships/externalLink" Target="externalLinks/externalLink52.xml"/><Relationship Id="rId103" Type="http://schemas.openxmlformats.org/officeDocument/2006/relationships/externalLink" Target="externalLinks/externalLink96.xml"/><Relationship Id="rId108" Type="http://schemas.openxmlformats.org/officeDocument/2006/relationships/externalLink" Target="externalLinks/externalLink101.xml"/><Relationship Id="rId124" Type="http://schemas.openxmlformats.org/officeDocument/2006/relationships/externalLink" Target="externalLinks/externalLink117.xml"/><Relationship Id="rId129" Type="http://schemas.openxmlformats.org/officeDocument/2006/relationships/externalLink" Target="externalLinks/externalLink122.xml"/><Relationship Id="rId54" Type="http://schemas.openxmlformats.org/officeDocument/2006/relationships/externalLink" Target="externalLinks/externalLink47.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91" Type="http://schemas.openxmlformats.org/officeDocument/2006/relationships/externalLink" Target="externalLinks/externalLink84.xml"/><Relationship Id="rId96" Type="http://schemas.openxmlformats.org/officeDocument/2006/relationships/externalLink" Target="externalLinks/externalLink89.xml"/><Relationship Id="rId140" Type="http://schemas.openxmlformats.org/officeDocument/2006/relationships/externalLink" Target="externalLinks/externalLink133.xml"/><Relationship Id="rId145" Type="http://schemas.openxmlformats.org/officeDocument/2006/relationships/externalLink" Target="externalLinks/externalLink138.xml"/><Relationship Id="rId161" Type="http://schemas.openxmlformats.org/officeDocument/2006/relationships/externalLink" Target="externalLinks/externalLink154.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49" Type="http://schemas.openxmlformats.org/officeDocument/2006/relationships/externalLink" Target="externalLinks/externalLink42.xml"/><Relationship Id="rId114" Type="http://schemas.openxmlformats.org/officeDocument/2006/relationships/externalLink" Target="externalLinks/externalLink107.xml"/><Relationship Id="rId119" Type="http://schemas.openxmlformats.org/officeDocument/2006/relationships/externalLink" Target="externalLinks/externalLink112.xml"/><Relationship Id="rId44" Type="http://schemas.openxmlformats.org/officeDocument/2006/relationships/externalLink" Target="externalLinks/externalLink37.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130" Type="http://schemas.openxmlformats.org/officeDocument/2006/relationships/externalLink" Target="externalLinks/externalLink123.xml"/><Relationship Id="rId135" Type="http://schemas.openxmlformats.org/officeDocument/2006/relationships/externalLink" Target="externalLinks/externalLink128.xml"/><Relationship Id="rId151" Type="http://schemas.openxmlformats.org/officeDocument/2006/relationships/externalLink" Target="externalLinks/externalLink144.xml"/><Relationship Id="rId156" Type="http://schemas.openxmlformats.org/officeDocument/2006/relationships/externalLink" Target="externalLinks/externalLink149.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109" Type="http://schemas.openxmlformats.org/officeDocument/2006/relationships/externalLink" Target="externalLinks/externalLink10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97" Type="http://schemas.openxmlformats.org/officeDocument/2006/relationships/externalLink" Target="externalLinks/externalLink90.xml"/><Relationship Id="rId104" Type="http://schemas.openxmlformats.org/officeDocument/2006/relationships/externalLink" Target="externalLinks/externalLink97.xml"/><Relationship Id="rId120" Type="http://schemas.openxmlformats.org/officeDocument/2006/relationships/externalLink" Target="externalLinks/externalLink113.xml"/><Relationship Id="rId125" Type="http://schemas.openxmlformats.org/officeDocument/2006/relationships/externalLink" Target="externalLinks/externalLink118.xml"/><Relationship Id="rId141" Type="http://schemas.openxmlformats.org/officeDocument/2006/relationships/externalLink" Target="externalLinks/externalLink134.xml"/><Relationship Id="rId146" Type="http://schemas.openxmlformats.org/officeDocument/2006/relationships/externalLink" Target="externalLinks/externalLink139.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4.xml"/><Relationship Id="rId92" Type="http://schemas.openxmlformats.org/officeDocument/2006/relationships/externalLink" Target="externalLinks/externalLink85.xml"/><Relationship Id="rId162" Type="http://schemas.openxmlformats.org/officeDocument/2006/relationships/externalLink" Target="externalLinks/externalLink155.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externalLink" Target="externalLinks/externalLink80.xml"/><Relationship Id="rId110" Type="http://schemas.openxmlformats.org/officeDocument/2006/relationships/externalLink" Target="externalLinks/externalLink103.xml"/><Relationship Id="rId115" Type="http://schemas.openxmlformats.org/officeDocument/2006/relationships/externalLink" Target="externalLinks/externalLink108.xml"/><Relationship Id="rId131" Type="http://schemas.openxmlformats.org/officeDocument/2006/relationships/externalLink" Target="externalLinks/externalLink124.xml"/><Relationship Id="rId136" Type="http://schemas.openxmlformats.org/officeDocument/2006/relationships/externalLink" Target="externalLinks/externalLink129.xml"/><Relationship Id="rId157" Type="http://schemas.openxmlformats.org/officeDocument/2006/relationships/externalLink" Target="externalLinks/externalLink150.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52" Type="http://schemas.openxmlformats.org/officeDocument/2006/relationships/externalLink" Target="externalLinks/externalLink145.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56" Type="http://schemas.openxmlformats.org/officeDocument/2006/relationships/externalLink" Target="externalLinks/externalLink49.xml"/><Relationship Id="rId77" Type="http://schemas.openxmlformats.org/officeDocument/2006/relationships/externalLink" Target="externalLinks/externalLink70.xml"/><Relationship Id="rId100" Type="http://schemas.openxmlformats.org/officeDocument/2006/relationships/externalLink" Target="externalLinks/externalLink93.xml"/><Relationship Id="rId105" Type="http://schemas.openxmlformats.org/officeDocument/2006/relationships/externalLink" Target="externalLinks/externalLink98.xml"/><Relationship Id="rId126" Type="http://schemas.openxmlformats.org/officeDocument/2006/relationships/externalLink" Target="externalLinks/externalLink119.xml"/><Relationship Id="rId147" Type="http://schemas.openxmlformats.org/officeDocument/2006/relationships/externalLink" Target="externalLinks/externalLink140.xml"/><Relationship Id="rId168" Type="http://schemas.openxmlformats.org/officeDocument/2006/relationships/calcChain" Target="calcChain.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93" Type="http://schemas.openxmlformats.org/officeDocument/2006/relationships/externalLink" Target="externalLinks/externalLink86.xml"/><Relationship Id="rId98" Type="http://schemas.openxmlformats.org/officeDocument/2006/relationships/externalLink" Target="externalLinks/externalLink91.xml"/><Relationship Id="rId121" Type="http://schemas.openxmlformats.org/officeDocument/2006/relationships/externalLink" Target="externalLinks/externalLink114.xml"/><Relationship Id="rId142" Type="http://schemas.openxmlformats.org/officeDocument/2006/relationships/externalLink" Target="externalLinks/externalLink135.xml"/><Relationship Id="rId163" Type="http://schemas.openxmlformats.org/officeDocument/2006/relationships/externalLink" Target="externalLinks/externalLink156.xml"/><Relationship Id="rId3" Type="http://schemas.openxmlformats.org/officeDocument/2006/relationships/worksheet" Target="worksheets/sheet3.xml"/><Relationship Id="rId25" Type="http://schemas.openxmlformats.org/officeDocument/2006/relationships/externalLink" Target="externalLinks/externalLink18.xml"/><Relationship Id="rId46" Type="http://schemas.openxmlformats.org/officeDocument/2006/relationships/externalLink" Target="externalLinks/externalLink39.xml"/><Relationship Id="rId67" Type="http://schemas.openxmlformats.org/officeDocument/2006/relationships/externalLink" Target="externalLinks/externalLink60.xml"/><Relationship Id="rId116" Type="http://schemas.openxmlformats.org/officeDocument/2006/relationships/externalLink" Target="externalLinks/externalLink109.xml"/><Relationship Id="rId137" Type="http://schemas.openxmlformats.org/officeDocument/2006/relationships/externalLink" Target="externalLinks/externalLink130.xml"/><Relationship Id="rId158" Type="http://schemas.openxmlformats.org/officeDocument/2006/relationships/externalLink" Target="externalLinks/externalLink151.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62" Type="http://schemas.openxmlformats.org/officeDocument/2006/relationships/externalLink" Target="externalLinks/externalLink55.xml"/><Relationship Id="rId83" Type="http://schemas.openxmlformats.org/officeDocument/2006/relationships/externalLink" Target="externalLinks/externalLink76.xml"/><Relationship Id="rId88" Type="http://schemas.openxmlformats.org/officeDocument/2006/relationships/externalLink" Target="externalLinks/externalLink81.xml"/><Relationship Id="rId111" Type="http://schemas.openxmlformats.org/officeDocument/2006/relationships/externalLink" Target="externalLinks/externalLink104.xml"/><Relationship Id="rId132" Type="http://schemas.openxmlformats.org/officeDocument/2006/relationships/externalLink" Target="externalLinks/externalLink125.xml"/><Relationship Id="rId153" Type="http://schemas.openxmlformats.org/officeDocument/2006/relationships/externalLink" Target="externalLinks/externalLink146.xml"/><Relationship Id="rId15" Type="http://schemas.openxmlformats.org/officeDocument/2006/relationships/externalLink" Target="externalLinks/externalLink8.xml"/><Relationship Id="rId36" Type="http://schemas.openxmlformats.org/officeDocument/2006/relationships/externalLink" Target="externalLinks/externalLink29.xml"/><Relationship Id="rId57" Type="http://schemas.openxmlformats.org/officeDocument/2006/relationships/externalLink" Target="externalLinks/externalLink50.xml"/><Relationship Id="rId106" Type="http://schemas.openxmlformats.org/officeDocument/2006/relationships/externalLink" Target="externalLinks/externalLink99.xml"/><Relationship Id="rId127" Type="http://schemas.openxmlformats.org/officeDocument/2006/relationships/externalLink" Target="externalLinks/externalLink12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52" Type="http://schemas.openxmlformats.org/officeDocument/2006/relationships/externalLink" Target="externalLinks/externalLink45.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94" Type="http://schemas.openxmlformats.org/officeDocument/2006/relationships/externalLink" Target="externalLinks/externalLink87.xml"/><Relationship Id="rId99" Type="http://schemas.openxmlformats.org/officeDocument/2006/relationships/externalLink" Target="externalLinks/externalLink92.xml"/><Relationship Id="rId101" Type="http://schemas.openxmlformats.org/officeDocument/2006/relationships/externalLink" Target="externalLinks/externalLink94.xml"/><Relationship Id="rId122" Type="http://schemas.openxmlformats.org/officeDocument/2006/relationships/externalLink" Target="externalLinks/externalLink115.xml"/><Relationship Id="rId143" Type="http://schemas.openxmlformats.org/officeDocument/2006/relationships/externalLink" Target="externalLinks/externalLink136.xml"/><Relationship Id="rId148" Type="http://schemas.openxmlformats.org/officeDocument/2006/relationships/externalLink" Target="externalLinks/externalLink141.xml"/><Relationship Id="rId164" Type="http://schemas.openxmlformats.org/officeDocument/2006/relationships/externalLink" Target="externalLinks/externalLink157.xml"/><Relationship Id="rId4" Type="http://schemas.openxmlformats.org/officeDocument/2006/relationships/worksheet" Target="worksheets/sheet4.xml"/><Relationship Id="rId9" Type="http://schemas.openxmlformats.org/officeDocument/2006/relationships/externalLink" Target="externalLinks/externalLink2.xml"/><Relationship Id="rId26" Type="http://schemas.openxmlformats.org/officeDocument/2006/relationships/externalLink" Target="externalLinks/externalLink19.xml"/><Relationship Id="rId47" Type="http://schemas.openxmlformats.org/officeDocument/2006/relationships/externalLink" Target="externalLinks/externalLink40.xml"/><Relationship Id="rId68" Type="http://schemas.openxmlformats.org/officeDocument/2006/relationships/externalLink" Target="externalLinks/externalLink61.xml"/><Relationship Id="rId89" Type="http://schemas.openxmlformats.org/officeDocument/2006/relationships/externalLink" Target="externalLinks/externalLink82.xml"/><Relationship Id="rId112" Type="http://schemas.openxmlformats.org/officeDocument/2006/relationships/externalLink" Target="externalLinks/externalLink105.xml"/><Relationship Id="rId133" Type="http://schemas.openxmlformats.org/officeDocument/2006/relationships/externalLink" Target="externalLinks/externalLink126.xml"/><Relationship Id="rId154" Type="http://schemas.openxmlformats.org/officeDocument/2006/relationships/externalLink" Target="externalLinks/externalLink147.xml"/><Relationship Id="rId16" Type="http://schemas.openxmlformats.org/officeDocument/2006/relationships/externalLink" Target="externalLinks/externalLink9.xml"/><Relationship Id="rId37" Type="http://schemas.openxmlformats.org/officeDocument/2006/relationships/externalLink" Target="externalLinks/externalLink30.xml"/><Relationship Id="rId58" Type="http://schemas.openxmlformats.org/officeDocument/2006/relationships/externalLink" Target="externalLinks/externalLink51.xml"/><Relationship Id="rId79" Type="http://schemas.openxmlformats.org/officeDocument/2006/relationships/externalLink" Target="externalLinks/externalLink72.xml"/><Relationship Id="rId102" Type="http://schemas.openxmlformats.org/officeDocument/2006/relationships/externalLink" Target="externalLinks/externalLink95.xml"/><Relationship Id="rId123" Type="http://schemas.openxmlformats.org/officeDocument/2006/relationships/externalLink" Target="externalLinks/externalLink116.xml"/><Relationship Id="rId144" Type="http://schemas.openxmlformats.org/officeDocument/2006/relationships/externalLink" Target="externalLinks/externalLink137.xml"/><Relationship Id="rId90" Type="http://schemas.openxmlformats.org/officeDocument/2006/relationships/externalLink" Target="externalLinks/externalLink83.xml"/><Relationship Id="rId165" Type="http://schemas.openxmlformats.org/officeDocument/2006/relationships/theme" Target="theme/theme1.xml"/><Relationship Id="rId27" Type="http://schemas.openxmlformats.org/officeDocument/2006/relationships/externalLink" Target="externalLinks/externalLink20.xml"/><Relationship Id="rId48" Type="http://schemas.openxmlformats.org/officeDocument/2006/relationships/externalLink" Target="externalLinks/externalLink41.xml"/><Relationship Id="rId69" Type="http://schemas.openxmlformats.org/officeDocument/2006/relationships/externalLink" Target="externalLinks/externalLink62.xml"/><Relationship Id="rId113" Type="http://schemas.openxmlformats.org/officeDocument/2006/relationships/externalLink" Target="externalLinks/externalLink106.xml"/><Relationship Id="rId134" Type="http://schemas.openxmlformats.org/officeDocument/2006/relationships/externalLink" Target="externalLinks/externalLink127.xml"/><Relationship Id="rId80" Type="http://schemas.openxmlformats.org/officeDocument/2006/relationships/externalLink" Target="externalLinks/externalLink73.xml"/><Relationship Id="rId155" Type="http://schemas.openxmlformats.org/officeDocument/2006/relationships/externalLink" Target="externalLinks/externalLink1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P%20M%20P%20PROJECTS\OneDrive\Desktop\New%20Microsoft%20Office%20Excel%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Users\P%20M%20P%20PROJECTS\OneDrive\Documents\MAGRAURA%20Distribution%20Network.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Users\HP\Desktop\anwesh\MANGRAURA%20(JMR).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HP\Downloads\aurangabad.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4">
          <cell r="B4" t="str">
            <v>Block</v>
          </cell>
          <cell r="D4" t="str">
            <v>Mangraura</v>
          </cell>
        </row>
        <row r="5">
          <cell r="B5" t="str">
            <v>GP</v>
          </cell>
          <cell r="D5" t="str">
            <v>Sakra</v>
          </cell>
        </row>
        <row r="6">
          <cell r="B6" t="str">
            <v>Agency Name/    Work Order No</v>
          </cell>
          <cell r="D6" t="str">
            <v>Harika Infra</v>
          </cell>
        </row>
        <row r="7">
          <cell r="B7" t="str">
            <v>63MM</v>
          </cell>
        </row>
        <row r="8">
          <cell r="B8" t="str">
            <v>Sl.No</v>
          </cell>
          <cell r="C8" t="str">
            <v>Date</v>
          </cell>
          <cell r="D8" t="str">
            <v>Issue (M)</v>
          </cell>
          <cell r="E8" t="str">
            <v>Laid (M)</v>
          </cell>
          <cell r="F8" t="str">
            <v>Balance Against Issue (M)</v>
          </cell>
          <cell r="G8" t="str">
            <v>Remarks</v>
          </cell>
        </row>
        <row r="9">
          <cell r="B9">
            <v>1</v>
          </cell>
          <cell r="C9">
            <v>44841</v>
          </cell>
          <cell r="D9">
            <v>7800</v>
          </cell>
          <cell r="F9">
            <v>7800</v>
          </cell>
          <cell r="G9">
            <v>801</v>
          </cell>
        </row>
        <row r="10">
          <cell r="B10">
            <v>2</v>
          </cell>
          <cell r="C10">
            <v>44843</v>
          </cell>
          <cell r="E10">
            <v>185</v>
          </cell>
          <cell r="F10">
            <v>7615</v>
          </cell>
        </row>
        <row r="11">
          <cell r="B11">
            <v>3</v>
          </cell>
          <cell r="C11">
            <v>44845</v>
          </cell>
          <cell r="E11">
            <v>60</v>
          </cell>
          <cell r="F11">
            <v>7555</v>
          </cell>
        </row>
        <row r="12">
          <cell r="B12">
            <v>4</v>
          </cell>
          <cell r="C12">
            <v>44849</v>
          </cell>
          <cell r="E12">
            <v>210</v>
          </cell>
          <cell r="F12">
            <v>7345</v>
          </cell>
        </row>
        <row r="13">
          <cell r="B13">
            <v>5</v>
          </cell>
          <cell r="C13">
            <v>44850</v>
          </cell>
          <cell r="E13">
            <v>280</v>
          </cell>
          <cell r="F13">
            <v>7065</v>
          </cell>
        </row>
        <row r="14">
          <cell r="B14">
            <v>6</v>
          </cell>
          <cell r="C14">
            <v>44851</v>
          </cell>
          <cell r="E14">
            <v>190</v>
          </cell>
          <cell r="F14">
            <v>6875</v>
          </cell>
        </row>
        <row r="15">
          <cell r="B15">
            <v>7</v>
          </cell>
          <cell r="C15">
            <v>44855</v>
          </cell>
          <cell r="E15">
            <v>90</v>
          </cell>
          <cell r="F15">
            <v>6785</v>
          </cell>
        </row>
        <row r="16">
          <cell r="B16">
            <v>8</v>
          </cell>
          <cell r="C16">
            <v>44856</v>
          </cell>
          <cell r="E16">
            <v>75</v>
          </cell>
          <cell r="F16">
            <v>6710</v>
          </cell>
        </row>
        <row r="17">
          <cell r="B17">
            <v>9</v>
          </cell>
          <cell r="C17">
            <v>44868</v>
          </cell>
          <cell r="E17">
            <v>205</v>
          </cell>
          <cell r="F17">
            <v>6505</v>
          </cell>
        </row>
        <row r="18">
          <cell r="B18">
            <v>10</v>
          </cell>
          <cell r="C18">
            <v>44869</v>
          </cell>
          <cell r="E18">
            <v>77</v>
          </cell>
          <cell r="F18">
            <v>6428</v>
          </cell>
        </row>
        <row r="19">
          <cell r="B19">
            <v>11</v>
          </cell>
          <cell r="C19">
            <v>44870</v>
          </cell>
          <cell r="E19">
            <v>275</v>
          </cell>
          <cell r="F19">
            <v>6153</v>
          </cell>
        </row>
        <row r="20">
          <cell r="B20">
            <v>12</v>
          </cell>
          <cell r="C20">
            <v>44871</v>
          </cell>
          <cell r="E20">
            <v>180</v>
          </cell>
          <cell r="F20">
            <v>5973</v>
          </cell>
        </row>
        <row r="21">
          <cell r="B21">
            <v>13</v>
          </cell>
          <cell r="C21">
            <v>44872</v>
          </cell>
          <cell r="E21">
            <v>424</v>
          </cell>
          <cell r="F21">
            <v>5549</v>
          </cell>
        </row>
        <row r="22">
          <cell r="B22">
            <v>14</v>
          </cell>
          <cell r="C22">
            <v>44873</v>
          </cell>
          <cell r="E22">
            <v>300</v>
          </cell>
          <cell r="F22">
            <v>5249</v>
          </cell>
        </row>
        <row r="23">
          <cell r="B23">
            <v>15</v>
          </cell>
          <cell r="C23">
            <v>44874</v>
          </cell>
          <cell r="E23">
            <v>50</v>
          </cell>
          <cell r="F23">
            <v>5199</v>
          </cell>
        </row>
        <row r="24">
          <cell r="B24">
            <v>16</v>
          </cell>
          <cell r="C24">
            <v>44878</v>
          </cell>
          <cell r="E24">
            <v>35</v>
          </cell>
          <cell r="F24">
            <v>5164</v>
          </cell>
        </row>
        <row r="25">
          <cell r="B25">
            <v>17</v>
          </cell>
          <cell r="C25">
            <v>44879</v>
          </cell>
          <cell r="E25">
            <v>52</v>
          </cell>
          <cell r="F25">
            <v>5112</v>
          </cell>
        </row>
        <row r="26">
          <cell r="B26">
            <v>18</v>
          </cell>
          <cell r="C26">
            <v>44880</v>
          </cell>
          <cell r="E26">
            <v>82</v>
          </cell>
          <cell r="F26">
            <v>5030</v>
          </cell>
        </row>
        <row r="27">
          <cell r="B27">
            <v>19</v>
          </cell>
          <cell r="C27">
            <v>44882</v>
          </cell>
          <cell r="E27">
            <v>90</v>
          </cell>
          <cell r="F27">
            <v>4940</v>
          </cell>
        </row>
        <row r="28">
          <cell r="B28">
            <v>20</v>
          </cell>
          <cell r="C28">
            <v>44883</v>
          </cell>
          <cell r="E28">
            <v>70</v>
          </cell>
          <cell r="F28">
            <v>4870</v>
          </cell>
        </row>
        <row r="29">
          <cell r="B29">
            <v>21</v>
          </cell>
          <cell r="C29">
            <v>44884</v>
          </cell>
          <cell r="E29">
            <v>300</v>
          </cell>
          <cell r="F29">
            <v>4570</v>
          </cell>
        </row>
        <row r="30">
          <cell r="B30">
            <v>22</v>
          </cell>
          <cell r="C30">
            <v>44885</v>
          </cell>
          <cell r="E30">
            <v>80</v>
          </cell>
          <cell r="F30">
            <v>4490</v>
          </cell>
        </row>
        <row r="31">
          <cell r="B31">
            <v>23</v>
          </cell>
          <cell r="C31">
            <v>44891</v>
          </cell>
          <cell r="E31">
            <v>183</v>
          </cell>
          <cell r="F31">
            <v>4307</v>
          </cell>
        </row>
        <row r="32">
          <cell r="B32">
            <v>24</v>
          </cell>
          <cell r="C32">
            <v>44892</v>
          </cell>
          <cell r="E32">
            <v>97</v>
          </cell>
          <cell r="F32">
            <v>4210</v>
          </cell>
        </row>
        <row r="33">
          <cell r="B33">
            <v>25</v>
          </cell>
          <cell r="C33">
            <v>44893</v>
          </cell>
          <cell r="E33">
            <v>200</v>
          </cell>
          <cell r="F33">
            <v>4010</v>
          </cell>
        </row>
        <row r="34">
          <cell r="B34">
            <v>26</v>
          </cell>
          <cell r="C34">
            <v>44894</v>
          </cell>
          <cell r="E34">
            <v>305</v>
          </cell>
          <cell r="F34">
            <v>3705</v>
          </cell>
        </row>
        <row r="35">
          <cell r="B35">
            <v>27</v>
          </cell>
          <cell r="C35">
            <v>44896</v>
          </cell>
          <cell r="E35">
            <v>308</v>
          </cell>
          <cell r="F35">
            <v>3397</v>
          </cell>
        </row>
        <row r="36">
          <cell r="B36">
            <v>28</v>
          </cell>
          <cell r="C36">
            <v>44897</v>
          </cell>
          <cell r="E36">
            <v>406</v>
          </cell>
          <cell r="F36">
            <v>2991</v>
          </cell>
        </row>
        <row r="37">
          <cell r="B37">
            <v>29</v>
          </cell>
          <cell r="C37">
            <v>44900</v>
          </cell>
          <cell r="E37">
            <v>50</v>
          </cell>
          <cell r="F37">
            <v>2941</v>
          </cell>
        </row>
        <row r="38">
          <cell r="B38">
            <v>30</v>
          </cell>
          <cell r="C38">
            <v>44901</v>
          </cell>
          <cell r="E38">
            <v>118</v>
          </cell>
          <cell r="F38">
            <v>2823</v>
          </cell>
        </row>
        <row r="39">
          <cell r="B39">
            <v>31</v>
          </cell>
          <cell r="C39">
            <v>44902</v>
          </cell>
          <cell r="E39">
            <v>30</v>
          </cell>
          <cell r="F39">
            <v>2793</v>
          </cell>
        </row>
        <row r="40">
          <cell r="B40">
            <v>32</v>
          </cell>
          <cell r="C40">
            <v>44903</v>
          </cell>
          <cell r="E40">
            <v>130</v>
          </cell>
          <cell r="F40">
            <v>2663</v>
          </cell>
        </row>
        <row r="41">
          <cell r="B41">
            <v>33</v>
          </cell>
          <cell r="C41">
            <v>44904</v>
          </cell>
          <cell r="E41">
            <v>46</v>
          </cell>
          <cell r="F41">
            <v>2617</v>
          </cell>
        </row>
        <row r="42">
          <cell r="B42">
            <v>34</v>
          </cell>
          <cell r="C42">
            <v>44906</v>
          </cell>
          <cell r="E42">
            <v>24</v>
          </cell>
          <cell r="F42">
            <v>2593</v>
          </cell>
        </row>
        <row r="43">
          <cell r="B43">
            <v>35</v>
          </cell>
          <cell r="C43">
            <v>44907</v>
          </cell>
          <cell r="E43">
            <v>50</v>
          </cell>
          <cell r="F43">
            <v>2543</v>
          </cell>
        </row>
        <row r="44">
          <cell r="B44">
            <v>36</v>
          </cell>
          <cell r="C44">
            <v>44908</v>
          </cell>
          <cell r="E44">
            <v>276</v>
          </cell>
          <cell r="F44">
            <v>2267</v>
          </cell>
        </row>
        <row r="45">
          <cell r="B45">
            <v>37</v>
          </cell>
          <cell r="C45">
            <v>44909</v>
          </cell>
          <cell r="E45">
            <v>110</v>
          </cell>
          <cell r="F45">
            <v>2157</v>
          </cell>
        </row>
        <row r="46">
          <cell r="B46">
            <v>38</v>
          </cell>
          <cell r="C46">
            <v>44911</v>
          </cell>
          <cell r="E46">
            <v>141</v>
          </cell>
          <cell r="F46">
            <v>2016</v>
          </cell>
        </row>
        <row r="47">
          <cell r="B47">
            <v>39</v>
          </cell>
          <cell r="C47">
            <v>44912</v>
          </cell>
          <cell r="E47">
            <v>30</v>
          </cell>
          <cell r="F47">
            <v>1986</v>
          </cell>
        </row>
        <row r="48">
          <cell r="B48">
            <v>40</v>
          </cell>
          <cell r="C48">
            <v>44913</v>
          </cell>
          <cell r="E48">
            <v>123</v>
          </cell>
          <cell r="F48">
            <v>1863</v>
          </cell>
        </row>
        <row r="49">
          <cell r="B49">
            <v>41</v>
          </cell>
          <cell r="C49">
            <v>44914</v>
          </cell>
          <cell r="E49">
            <v>50</v>
          </cell>
          <cell r="F49">
            <v>1813</v>
          </cell>
        </row>
        <row r="50">
          <cell r="B50">
            <v>42</v>
          </cell>
          <cell r="C50">
            <v>44915</v>
          </cell>
          <cell r="E50">
            <v>100</v>
          </cell>
          <cell r="F50">
            <v>1713</v>
          </cell>
        </row>
        <row r="51">
          <cell r="B51">
            <v>43</v>
          </cell>
          <cell r="C51">
            <v>44916</v>
          </cell>
          <cell r="E51">
            <v>98</v>
          </cell>
          <cell r="F51">
            <v>1615</v>
          </cell>
        </row>
        <row r="52">
          <cell r="B52">
            <v>44</v>
          </cell>
          <cell r="C52">
            <v>44918</v>
          </cell>
          <cell r="E52">
            <v>65</v>
          </cell>
          <cell r="F52">
            <v>1550</v>
          </cell>
        </row>
        <row r="53">
          <cell r="B53">
            <v>45</v>
          </cell>
          <cell r="C53">
            <v>44919</v>
          </cell>
          <cell r="E53">
            <v>57</v>
          </cell>
          <cell r="F53">
            <v>1493</v>
          </cell>
        </row>
        <row r="54">
          <cell r="B54">
            <v>46</v>
          </cell>
          <cell r="C54">
            <v>44920</v>
          </cell>
          <cell r="E54">
            <v>48</v>
          </cell>
          <cell r="F54">
            <v>1445</v>
          </cell>
        </row>
        <row r="55">
          <cell r="B55" t="str">
            <v>75MM</v>
          </cell>
        </row>
        <row r="56">
          <cell r="B56" t="str">
            <v>Sl.No</v>
          </cell>
          <cell r="C56" t="str">
            <v>Date</v>
          </cell>
          <cell r="D56" t="str">
            <v>Issue (M)</v>
          </cell>
          <cell r="E56" t="str">
            <v>Laid (M)</v>
          </cell>
          <cell r="F56" t="str">
            <v>Balance Against Issue (M)</v>
          </cell>
          <cell r="G56" t="str">
            <v>Remarks</v>
          </cell>
        </row>
        <row r="57">
          <cell r="B57">
            <v>1</v>
          </cell>
          <cell r="C57">
            <v>44853</v>
          </cell>
          <cell r="D57">
            <v>900</v>
          </cell>
          <cell r="F57">
            <v>900</v>
          </cell>
          <cell r="G57">
            <v>807</v>
          </cell>
        </row>
        <row r="58">
          <cell r="B58">
            <v>2</v>
          </cell>
          <cell r="C58">
            <v>44865</v>
          </cell>
          <cell r="E58">
            <v>103</v>
          </cell>
          <cell r="F58">
            <v>797</v>
          </cell>
        </row>
        <row r="59">
          <cell r="B59">
            <v>3</v>
          </cell>
          <cell r="C59">
            <v>44866</v>
          </cell>
          <cell r="E59">
            <v>138</v>
          </cell>
          <cell r="F59">
            <v>659</v>
          </cell>
        </row>
        <row r="60">
          <cell r="B60">
            <v>4</v>
          </cell>
          <cell r="C60">
            <v>44868</v>
          </cell>
          <cell r="E60">
            <v>122</v>
          </cell>
          <cell r="F60">
            <v>537</v>
          </cell>
        </row>
        <row r="61">
          <cell r="B61">
            <v>5</v>
          </cell>
          <cell r="C61">
            <v>44869</v>
          </cell>
          <cell r="E61">
            <v>70</v>
          </cell>
          <cell r="F61">
            <v>467</v>
          </cell>
        </row>
        <row r="62">
          <cell r="B62">
            <v>6</v>
          </cell>
          <cell r="C62">
            <v>44870</v>
          </cell>
          <cell r="D62">
            <v>600</v>
          </cell>
          <cell r="F62">
            <v>1067</v>
          </cell>
          <cell r="G62">
            <v>813</v>
          </cell>
        </row>
        <row r="63">
          <cell r="B63">
            <v>6</v>
          </cell>
          <cell r="C63">
            <v>44871</v>
          </cell>
          <cell r="E63">
            <v>100</v>
          </cell>
          <cell r="F63">
            <v>967</v>
          </cell>
        </row>
        <row r="64">
          <cell r="B64">
            <v>7</v>
          </cell>
          <cell r="C64">
            <v>44872</v>
          </cell>
          <cell r="E64">
            <v>92</v>
          </cell>
          <cell r="F64">
            <v>875</v>
          </cell>
        </row>
        <row r="65">
          <cell r="B65">
            <v>8</v>
          </cell>
          <cell r="C65">
            <v>44873</v>
          </cell>
          <cell r="E65">
            <v>190</v>
          </cell>
          <cell r="F65">
            <v>685</v>
          </cell>
        </row>
        <row r="66">
          <cell r="B66">
            <v>9</v>
          </cell>
          <cell r="C66">
            <v>44877</v>
          </cell>
          <cell r="E66">
            <v>105</v>
          </cell>
          <cell r="F66">
            <v>580</v>
          </cell>
        </row>
        <row r="67">
          <cell r="B67">
            <v>10</v>
          </cell>
          <cell r="C67">
            <v>44880</v>
          </cell>
          <cell r="E67">
            <v>35</v>
          </cell>
          <cell r="F67">
            <v>545</v>
          </cell>
        </row>
        <row r="68">
          <cell r="B68">
            <v>11</v>
          </cell>
          <cell r="C68">
            <v>44881</v>
          </cell>
          <cell r="E68">
            <v>85</v>
          </cell>
          <cell r="F68">
            <v>460</v>
          </cell>
        </row>
        <row r="69">
          <cell r="B69">
            <v>12</v>
          </cell>
          <cell r="C69">
            <v>44882</v>
          </cell>
          <cell r="D69">
            <v>600</v>
          </cell>
          <cell r="F69">
            <v>1060</v>
          </cell>
          <cell r="G69">
            <v>820</v>
          </cell>
        </row>
        <row r="70">
          <cell r="B70">
            <v>13</v>
          </cell>
          <cell r="C70">
            <v>44883</v>
          </cell>
          <cell r="E70">
            <v>180</v>
          </cell>
          <cell r="F70">
            <v>880</v>
          </cell>
        </row>
        <row r="71">
          <cell r="B71">
            <v>14</v>
          </cell>
          <cell r="C71">
            <v>44885</v>
          </cell>
          <cell r="E71">
            <v>50</v>
          </cell>
          <cell r="F71">
            <v>830</v>
          </cell>
        </row>
        <row r="72">
          <cell r="B72">
            <v>15</v>
          </cell>
          <cell r="C72">
            <v>44898</v>
          </cell>
          <cell r="E72">
            <v>210</v>
          </cell>
          <cell r="F72">
            <v>620</v>
          </cell>
        </row>
        <row r="73">
          <cell r="B73">
            <v>16</v>
          </cell>
          <cell r="C73">
            <v>44899</v>
          </cell>
          <cell r="E73">
            <v>80</v>
          </cell>
          <cell r="F73">
            <v>540</v>
          </cell>
        </row>
        <row r="74">
          <cell r="B74">
            <v>17</v>
          </cell>
          <cell r="C74">
            <v>44900</v>
          </cell>
          <cell r="E74">
            <v>160</v>
          </cell>
          <cell r="F74">
            <v>380</v>
          </cell>
        </row>
        <row r="75">
          <cell r="B75">
            <v>18</v>
          </cell>
          <cell r="C75">
            <v>44901</v>
          </cell>
          <cell r="E75">
            <v>30</v>
          </cell>
          <cell r="F75">
            <v>350</v>
          </cell>
        </row>
        <row r="76">
          <cell r="B76">
            <v>19</v>
          </cell>
          <cell r="C76">
            <v>44902</v>
          </cell>
          <cell r="D76">
            <v>450</v>
          </cell>
          <cell r="E76">
            <v>50</v>
          </cell>
          <cell r="F76">
            <v>750</v>
          </cell>
          <cell r="G76">
            <v>834</v>
          </cell>
        </row>
        <row r="77">
          <cell r="B77">
            <v>20</v>
          </cell>
          <cell r="C77">
            <v>44903</v>
          </cell>
          <cell r="E77">
            <v>63</v>
          </cell>
          <cell r="F77">
            <v>687</v>
          </cell>
        </row>
        <row r="78">
          <cell r="B78">
            <v>21</v>
          </cell>
          <cell r="C78">
            <v>44904</v>
          </cell>
          <cell r="D78">
            <v>450</v>
          </cell>
          <cell r="E78">
            <v>86</v>
          </cell>
          <cell r="F78">
            <v>1051</v>
          </cell>
          <cell r="G78">
            <v>836</v>
          </cell>
        </row>
        <row r="79">
          <cell r="B79">
            <v>22</v>
          </cell>
          <cell r="C79">
            <v>44905</v>
          </cell>
          <cell r="E79">
            <v>145</v>
          </cell>
          <cell r="F79">
            <v>906</v>
          </cell>
        </row>
        <row r="80">
          <cell r="B80">
            <v>23</v>
          </cell>
          <cell r="C80">
            <v>44906</v>
          </cell>
          <cell r="E80">
            <v>51</v>
          </cell>
          <cell r="F80">
            <v>855</v>
          </cell>
        </row>
        <row r="81">
          <cell r="B81">
            <v>24</v>
          </cell>
          <cell r="C81">
            <v>44907</v>
          </cell>
          <cell r="E81">
            <v>102</v>
          </cell>
          <cell r="F81">
            <v>753</v>
          </cell>
        </row>
        <row r="82">
          <cell r="B82">
            <v>25</v>
          </cell>
          <cell r="C82">
            <v>44909</v>
          </cell>
          <cell r="E82">
            <v>45</v>
          </cell>
          <cell r="F82">
            <v>708</v>
          </cell>
        </row>
        <row r="83">
          <cell r="B83">
            <v>26</v>
          </cell>
          <cell r="C83">
            <v>44910</v>
          </cell>
          <cell r="E83">
            <v>167</v>
          </cell>
          <cell r="F83">
            <v>541</v>
          </cell>
        </row>
        <row r="84">
          <cell r="B84">
            <v>27</v>
          </cell>
          <cell r="C84">
            <v>44912</v>
          </cell>
          <cell r="E84">
            <v>23</v>
          </cell>
          <cell r="F84">
            <v>518</v>
          </cell>
        </row>
        <row r="85">
          <cell r="B85" t="str">
            <v>90MM</v>
          </cell>
        </row>
        <row r="86">
          <cell r="B86" t="str">
            <v>Sl.No</v>
          </cell>
          <cell r="C86" t="str">
            <v>Date</v>
          </cell>
          <cell r="D86" t="str">
            <v>Issue (M)</v>
          </cell>
          <cell r="E86" t="str">
            <v>Laid (M)</v>
          </cell>
          <cell r="F86" t="str">
            <v>Balance Against Issue (M)</v>
          </cell>
          <cell r="G86" t="str">
            <v>Remarks</v>
          </cell>
        </row>
        <row r="87">
          <cell r="B87">
            <v>1</v>
          </cell>
          <cell r="C87">
            <v>44853</v>
          </cell>
          <cell r="D87">
            <v>1000</v>
          </cell>
          <cell r="F87">
            <v>1000</v>
          </cell>
          <cell r="G87">
            <v>804</v>
          </cell>
        </row>
        <row r="88">
          <cell r="B88">
            <v>2</v>
          </cell>
          <cell r="C88">
            <v>44856</v>
          </cell>
          <cell r="E88">
            <v>179</v>
          </cell>
          <cell r="F88">
            <v>821</v>
          </cell>
        </row>
        <row r="89">
          <cell r="B89">
            <v>3</v>
          </cell>
          <cell r="C89">
            <v>44866</v>
          </cell>
          <cell r="E89">
            <v>224</v>
          </cell>
          <cell r="F89">
            <v>597</v>
          </cell>
        </row>
        <row r="90">
          <cell r="B90">
            <v>4</v>
          </cell>
          <cell r="C90">
            <v>44867</v>
          </cell>
          <cell r="E90">
            <v>397</v>
          </cell>
          <cell r="F90">
            <v>200</v>
          </cell>
        </row>
        <row r="91">
          <cell r="B91">
            <v>5</v>
          </cell>
          <cell r="C91">
            <v>44868</v>
          </cell>
          <cell r="E91">
            <v>20</v>
          </cell>
          <cell r="F91">
            <v>180</v>
          </cell>
        </row>
        <row r="92">
          <cell r="B92">
            <v>6</v>
          </cell>
          <cell r="C92">
            <v>44871</v>
          </cell>
          <cell r="D92">
            <v>1000</v>
          </cell>
          <cell r="E92">
            <v>300</v>
          </cell>
          <cell r="F92">
            <v>880</v>
          </cell>
          <cell r="G92">
            <v>812</v>
          </cell>
        </row>
        <row r="93">
          <cell r="B93">
            <v>7</v>
          </cell>
          <cell r="C93">
            <v>44873</v>
          </cell>
          <cell r="E93">
            <v>220</v>
          </cell>
          <cell r="F93">
            <v>660</v>
          </cell>
        </row>
        <row r="94">
          <cell r="B94">
            <v>8</v>
          </cell>
          <cell r="C94">
            <v>44878</v>
          </cell>
          <cell r="E94">
            <v>160</v>
          </cell>
          <cell r="F94">
            <v>500</v>
          </cell>
        </row>
        <row r="95">
          <cell r="B95">
            <v>9</v>
          </cell>
          <cell r="C95">
            <v>44879</v>
          </cell>
          <cell r="E95">
            <v>148</v>
          </cell>
          <cell r="F95">
            <v>352</v>
          </cell>
        </row>
        <row r="96">
          <cell r="B96">
            <v>10</v>
          </cell>
          <cell r="C96">
            <v>44881</v>
          </cell>
          <cell r="E96">
            <v>30</v>
          </cell>
          <cell r="F96">
            <v>322</v>
          </cell>
        </row>
        <row r="97">
          <cell r="B97">
            <v>11</v>
          </cell>
          <cell r="C97">
            <v>44882</v>
          </cell>
          <cell r="E97">
            <v>156</v>
          </cell>
          <cell r="F97">
            <v>166</v>
          </cell>
        </row>
        <row r="98">
          <cell r="B98">
            <v>12</v>
          </cell>
          <cell r="C98">
            <v>44895</v>
          </cell>
          <cell r="D98">
            <v>600</v>
          </cell>
          <cell r="F98">
            <v>766</v>
          </cell>
          <cell r="G98">
            <v>827</v>
          </cell>
        </row>
        <row r="99">
          <cell r="B99">
            <v>13</v>
          </cell>
          <cell r="C99">
            <v>44898</v>
          </cell>
          <cell r="E99">
            <v>150</v>
          </cell>
          <cell r="F99">
            <v>616</v>
          </cell>
        </row>
        <row r="100">
          <cell r="B100">
            <v>14</v>
          </cell>
          <cell r="C100">
            <v>44899</v>
          </cell>
          <cell r="E100">
            <v>210</v>
          </cell>
          <cell r="F100">
            <v>406</v>
          </cell>
        </row>
        <row r="101">
          <cell r="B101">
            <v>15</v>
          </cell>
          <cell r="C101">
            <v>44900</v>
          </cell>
          <cell r="E101">
            <v>90</v>
          </cell>
          <cell r="F101">
            <v>316</v>
          </cell>
        </row>
        <row r="102">
          <cell r="B102">
            <v>16</v>
          </cell>
          <cell r="C102">
            <v>44901</v>
          </cell>
          <cell r="E102">
            <v>25</v>
          </cell>
          <cell r="F102">
            <v>291</v>
          </cell>
        </row>
        <row r="103">
          <cell r="B103">
            <v>17</v>
          </cell>
          <cell r="C103">
            <v>44902</v>
          </cell>
          <cell r="E103">
            <v>20</v>
          </cell>
          <cell r="F103">
            <v>271</v>
          </cell>
        </row>
        <row r="104">
          <cell r="B104">
            <v>18</v>
          </cell>
          <cell r="C104">
            <v>44906</v>
          </cell>
          <cell r="E104">
            <v>65</v>
          </cell>
          <cell r="F104">
            <v>206</v>
          </cell>
        </row>
        <row r="105">
          <cell r="B105">
            <v>19</v>
          </cell>
          <cell r="C105">
            <v>44914</v>
          </cell>
          <cell r="E105">
            <v>50</v>
          </cell>
          <cell r="F105">
            <v>156</v>
          </cell>
        </row>
        <row r="106">
          <cell r="B106">
            <v>47</v>
          </cell>
          <cell r="C106">
            <v>44921</v>
          </cell>
          <cell r="E106">
            <v>50</v>
          </cell>
          <cell r="F106">
            <v>106</v>
          </cell>
        </row>
        <row r="107">
          <cell r="B107" t="str">
            <v>110MM</v>
          </cell>
        </row>
        <row r="108">
          <cell r="B108" t="str">
            <v>Sl.No</v>
          </cell>
          <cell r="C108" t="str">
            <v>Date</v>
          </cell>
          <cell r="D108" t="str">
            <v>Issue (M)</v>
          </cell>
          <cell r="E108" t="str">
            <v>Laid (M)</v>
          </cell>
          <cell r="F108" t="str">
            <v>Balance Against Issue (M)</v>
          </cell>
          <cell r="G108" t="str">
            <v>Remarks</v>
          </cell>
        </row>
        <row r="109">
          <cell r="B109">
            <v>1</v>
          </cell>
          <cell r="C109">
            <v>44842</v>
          </cell>
          <cell r="D109">
            <v>1000</v>
          </cell>
          <cell r="F109">
            <v>1000</v>
          </cell>
          <cell r="G109">
            <v>802</v>
          </cell>
        </row>
        <row r="110">
          <cell r="B110">
            <v>2</v>
          </cell>
          <cell r="C110">
            <v>44851</v>
          </cell>
          <cell r="E110">
            <v>60</v>
          </cell>
          <cell r="F110">
            <v>940</v>
          </cell>
        </row>
        <row r="111">
          <cell r="B111">
            <v>3</v>
          </cell>
          <cell r="C111">
            <v>44853</v>
          </cell>
          <cell r="E111">
            <v>221</v>
          </cell>
          <cell r="F111">
            <v>719</v>
          </cell>
        </row>
        <row r="112">
          <cell r="B112">
            <v>4</v>
          </cell>
          <cell r="C112">
            <v>44854</v>
          </cell>
          <cell r="E112">
            <v>228</v>
          </cell>
          <cell r="F112">
            <v>491</v>
          </cell>
        </row>
        <row r="113">
          <cell r="B113">
            <v>5</v>
          </cell>
          <cell r="C113">
            <v>44855</v>
          </cell>
          <cell r="E113">
            <v>84</v>
          </cell>
          <cell r="F113">
            <v>407</v>
          </cell>
        </row>
        <row r="114">
          <cell r="B114">
            <v>6</v>
          </cell>
          <cell r="C114">
            <v>44878</v>
          </cell>
          <cell r="E114">
            <v>76</v>
          </cell>
          <cell r="F114">
            <v>331</v>
          </cell>
        </row>
        <row r="115">
          <cell r="B115">
            <v>7</v>
          </cell>
          <cell r="C115">
            <v>44879</v>
          </cell>
          <cell r="E115">
            <v>100</v>
          </cell>
          <cell r="F115">
            <v>231</v>
          </cell>
        </row>
        <row r="116">
          <cell r="B116">
            <v>8</v>
          </cell>
          <cell r="C116">
            <v>44880</v>
          </cell>
          <cell r="E116">
            <v>130</v>
          </cell>
          <cell r="F116">
            <v>101</v>
          </cell>
        </row>
        <row r="117">
          <cell r="B117">
            <v>9</v>
          </cell>
          <cell r="C117">
            <v>44881</v>
          </cell>
          <cell r="D117">
            <v>600</v>
          </cell>
          <cell r="E117">
            <v>75</v>
          </cell>
          <cell r="F117">
            <v>626</v>
          </cell>
          <cell r="G117">
            <v>818</v>
          </cell>
        </row>
        <row r="118">
          <cell r="B118">
            <v>10</v>
          </cell>
          <cell r="C118">
            <v>44882</v>
          </cell>
          <cell r="F118">
            <v>626</v>
          </cell>
        </row>
        <row r="119">
          <cell r="B119">
            <v>11</v>
          </cell>
          <cell r="C119">
            <v>44883</v>
          </cell>
          <cell r="E119">
            <v>109</v>
          </cell>
          <cell r="F119">
            <v>517</v>
          </cell>
        </row>
        <row r="120">
          <cell r="B120">
            <v>12</v>
          </cell>
          <cell r="C120">
            <v>44895</v>
          </cell>
          <cell r="E120">
            <v>397</v>
          </cell>
          <cell r="F120">
            <v>120</v>
          </cell>
        </row>
        <row r="121">
          <cell r="B121">
            <v>13</v>
          </cell>
          <cell r="C121">
            <v>44897</v>
          </cell>
          <cell r="E121">
            <v>112</v>
          </cell>
          <cell r="F121">
            <v>8</v>
          </cell>
        </row>
        <row r="124">
          <cell r="B124" t="str">
            <v>125MM</v>
          </cell>
        </row>
        <row r="125">
          <cell r="B125" t="str">
            <v>Sl.No</v>
          </cell>
          <cell r="C125" t="str">
            <v>Date</v>
          </cell>
          <cell r="D125" t="str">
            <v>Issue (M)</v>
          </cell>
          <cell r="E125" t="str">
            <v>Laid (M)</v>
          </cell>
          <cell r="F125" t="str">
            <v>Balance Against Issue (M)</v>
          </cell>
          <cell r="G125" t="str">
            <v>Remarks</v>
          </cell>
        </row>
        <row r="126">
          <cell r="B126">
            <v>1</v>
          </cell>
          <cell r="C126">
            <v>44886</v>
          </cell>
          <cell r="D126">
            <v>48</v>
          </cell>
          <cell r="F126">
            <v>48</v>
          </cell>
          <cell r="G126">
            <v>819</v>
          </cell>
        </row>
        <row r="127">
          <cell r="B127">
            <v>2</v>
          </cell>
          <cell r="C127">
            <v>44898</v>
          </cell>
          <cell r="E127">
            <v>48</v>
          </cell>
          <cell r="F127">
            <v>0</v>
          </cell>
        </row>
        <row r="134">
          <cell r="B134" t="str">
            <v>140MM</v>
          </cell>
        </row>
        <row r="135">
          <cell r="B135" t="str">
            <v>Sl.No</v>
          </cell>
          <cell r="C135" t="str">
            <v>Date</v>
          </cell>
          <cell r="D135" t="str">
            <v>Issue (M)</v>
          </cell>
          <cell r="E135" t="str">
            <v>Laid (M)</v>
          </cell>
          <cell r="F135" t="str">
            <v>Balance Against Issue (M)</v>
          </cell>
          <cell r="G135" t="str">
            <v>Remarks</v>
          </cell>
        </row>
        <row r="136">
          <cell r="B136">
            <v>1</v>
          </cell>
          <cell r="C136">
            <v>44874</v>
          </cell>
          <cell r="D136">
            <v>2160</v>
          </cell>
          <cell r="F136">
            <v>2160</v>
          </cell>
          <cell r="G136">
            <v>815</v>
          </cell>
        </row>
        <row r="137">
          <cell r="B137">
            <v>2</v>
          </cell>
          <cell r="C137">
            <v>44876</v>
          </cell>
          <cell r="E137">
            <v>120</v>
          </cell>
          <cell r="F137">
            <v>2040</v>
          </cell>
        </row>
        <row r="138">
          <cell r="B138">
            <v>3</v>
          </cell>
          <cell r="C138">
            <v>44877</v>
          </cell>
          <cell r="E138">
            <v>100</v>
          </cell>
          <cell r="F138">
            <v>1940</v>
          </cell>
        </row>
        <row r="139">
          <cell r="B139">
            <v>4</v>
          </cell>
          <cell r="C139">
            <v>44878</v>
          </cell>
          <cell r="E139">
            <v>375</v>
          </cell>
          <cell r="F139">
            <v>1565</v>
          </cell>
        </row>
        <row r="140">
          <cell r="B140">
            <v>5</v>
          </cell>
          <cell r="C140">
            <v>44879</v>
          </cell>
          <cell r="E140">
            <v>203</v>
          </cell>
          <cell r="F140">
            <v>1362</v>
          </cell>
        </row>
        <row r="141">
          <cell r="B141">
            <v>6</v>
          </cell>
          <cell r="C141">
            <v>44880</v>
          </cell>
          <cell r="E141">
            <v>375</v>
          </cell>
          <cell r="F141">
            <v>987</v>
          </cell>
        </row>
        <row r="142">
          <cell r="B142">
            <v>7</v>
          </cell>
          <cell r="C142">
            <v>44882</v>
          </cell>
          <cell r="E142">
            <v>155</v>
          </cell>
          <cell r="F142">
            <v>832</v>
          </cell>
        </row>
        <row r="143">
          <cell r="B143">
            <v>8</v>
          </cell>
          <cell r="C143">
            <v>44884</v>
          </cell>
          <cell r="E143">
            <v>120</v>
          </cell>
          <cell r="F143">
            <v>712</v>
          </cell>
        </row>
        <row r="144">
          <cell r="B144">
            <v>9</v>
          </cell>
          <cell r="C144">
            <v>44886</v>
          </cell>
          <cell r="D144">
            <v>1320</v>
          </cell>
          <cell r="E144">
            <v>195</v>
          </cell>
          <cell r="F144">
            <v>1837</v>
          </cell>
          <cell r="G144">
            <v>821</v>
          </cell>
        </row>
        <row r="145">
          <cell r="B145">
            <v>10</v>
          </cell>
          <cell r="C145">
            <v>44887</v>
          </cell>
          <cell r="E145">
            <v>810</v>
          </cell>
          <cell r="F145">
            <v>1027</v>
          </cell>
        </row>
        <row r="146">
          <cell r="B146">
            <v>11</v>
          </cell>
          <cell r="C146">
            <v>44888</v>
          </cell>
          <cell r="E146">
            <v>174</v>
          </cell>
          <cell r="F146">
            <v>853</v>
          </cell>
        </row>
        <row r="147">
          <cell r="B147">
            <v>12</v>
          </cell>
          <cell r="C147">
            <v>44889</v>
          </cell>
          <cell r="E147">
            <v>246</v>
          </cell>
          <cell r="F147">
            <v>607</v>
          </cell>
        </row>
        <row r="148">
          <cell r="B148">
            <v>13</v>
          </cell>
          <cell r="C148">
            <v>44890</v>
          </cell>
          <cell r="E148">
            <v>181</v>
          </cell>
          <cell r="F148">
            <v>426</v>
          </cell>
        </row>
        <row r="149">
          <cell r="B149">
            <v>14</v>
          </cell>
          <cell r="C149">
            <v>44917</v>
          </cell>
          <cell r="E149">
            <v>132</v>
          </cell>
          <cell r="F149">
            <v>294</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row r="1033">
          <cell r="I1033">
            <v>2529</v>
          </cell>
          <cell r="J1033">
            <v>3250</v>
          </cell>
          <cell r="K1033">
            <v>845</v>
          </cell>
          <cell r="L1033">
            <v>2785</v>
          </cell>
          <cell r="M1033">
            <v>579</v>
          </cell>
          <cell r="N1033">
            <v>2091</v>
          </cell>
        </row>
        <row r="1034">
          <cell r="I1034">
            <v>4008</v>
          </cell>
          <cell r="J1034">
            <v>3644</v>
          </cell>
          <cell r="K1034">
            <v>1029</v>
          </cell>
          <cell r="L1034">
            <v>2846</v>
          </cell>
          <cell r="M1034">
            <v>713</v>
          </cell>
          <cell r="N1034">
            <v>2121</v>
          </cell>
          <cell r="P1034">
            <v>1431</v>
          </cell>
        </row>
      </sheetData>
      <sheetData sheetId="5" refreshError="1"/>
      <sheetData sheetId="6" refreshError="1"/>
      <sheetData sheetId="7" refreshError="1"/>
      <sheetData sheetId="8" refreshError="1"/>
      <sheetData sheetId="9" refreshError="1"/>
      <sheetData sheetId="10" refreshError="1">
        <row r="155">
          <cell r="U155">
            <v>4151.4999999999991</v>
          </cell>
          <cell r="V155">
            <v>2405.2999999999997</v>
          </cell>
          <cell r="W155">
            <v>715.5</v>
          </cell>
          <cell r="X155">
            <v>2122.3000000000002</v>
          </cell>
          <cell r="Y155">
            <v>2603.1000000000008</v>
          </cell>
          <cell r="Z155">
            <v>166.8</v>
          </cell>
        </row>
        <row r="444">
          <cell r="G444">
            <v>4871</v>
          </cell>
          <cell r="H444">
            <v>2635</v>
          </cell>
          <cell r="I444">
            <v>985</v>
          </cell>
          <cell r="J444">
            <v>2015</v>
          </cell>
          <cell r="L444">
            <v>2689</v>
          </cell>
          <cell r="M444">
            <v>179</v>
          </cell>
        </row>
      </sheetData>
      <sheetData sheetId="11" refreshError="1"/>
      <sheetData sheetId="12" refreshError="1"/>
      <sheetData sheetId="13" refreshError="1"/>
      <sheetData sheetId="14" refreshError="1"/>
      <sheetData sheetId="15" refreshError="1">
        <row r="65">
          <cell r="G65">
            <v>1924</v>
          </cell>
          <cell r="I65">
            <v>1069</v>
          </cell>
          <cell r="J65">
            <v>816</v>
          </cell>
          <cell r="L65">
            <v>855</v>
          </cell>
        </row>
      </sheetData>
      <sheetData sheetId="16" refreshError="1"/>
      <sheetData sheetId="17" refreshError="1"/>
      <sheetData sheetId="18" refreshError="1"/>
      <sheetData sheetId="1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2"/>
      <sheetName val="SAKRA"/>
      <sheetName val="HARDOI"/>
      <sheetName val="gehrauli"/>
      <sheetName val="SESHPUR ADHARGANJ"/>
      <sheetName val="ATTARASAND AGS"/>
      <sheetName val="MANGRAURA"/>
      <sheetName val="ATTARASAND PR"/>
      <sheetName val="ATTARASAND KHAYATHI"/>
      <sheetName val="SARAI JAMMUVARI"/>
      <sheetName val="PURBHIKA AND RAIGARH"/>
      <sheetName val="Sheet1"/>
    </sheetNames>
    <sheetDataSet>
      <sheetData sheetId="0" refreshError="1"/>
      <sheetData sheetId="1" refreshError="1"/>
      <sheetData sheetId="2">
        <row r="118">
          <cell r="H118">
            <v>3709.8</v>
          </cell>
        </row>
      </sheetData>
      <sheetData sheetId="3" refreshError="1"/>
      <sheetData sheetId="4" refreshError="1"/>
      <sheetData sheetId="5" refreshError="1"/>
      <sheetData sheetId="6"/>
      <sheetData sheetId="7">
        <row r="138">
          <cell r="B138">
            <v>4008</v>
          </cell>
          <cell r="C138">
            <v>3644</v>
          </cell>
          <cell r="D138">
            <v>1029</v>
          </cell>
          <cell r="E138">
            <v>2846</v>
          </cell>
          <cell r="F138">
            <v>713</v>
          </cell>
          <cell r="G138">
            <v>2121</v>
          </cell>
        </row>
      </sheetData>
      <sheetData sheetId="8" refreshError="1"/>
      <sheetData sheetId="9">
        <row r="128">
          <cell r="F128">
            <v>3008.2</v>
          </cell>
        </row>
      </sheetData>
      <sheetData sheetId="10" refreshError="1"/>
      <sheetData sheetId="11"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sheetName val="Recon Sheet"/>
      <sheetName val="Sheet1"/>
    </sheetNames>
    <sheetDataSet>
      <sheetData sheetId="0">
        <row r="31">
          <cell r="H31">
            <v>1380</v>
          </cell>
          <cell r="I31">
            <v>711</v>
          </cell>
          <cell r="J31">
            <v>1487</v>
          </cell>
          <cell r="K31">
            <v>400</v>
          </cell>
        </row>
      </sheetData>
      <sheetData sheetId="1"/>
      <sheetData sheetId="2"/>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U214"/>
  <sheetViews>
    <sheetView workbookViewId="0">
      <selection activeCell="I15" sqref="I15"/>
    </sheetView>
  </sheetViews>
  <sheetFormatPr defaultRowHeight="15" x14ac:dyDescent="0.25"/>
  <cols>
    <col min="3" max="3" width="10.42578125" bestFit="1" customWidth="1"/>
    <col min="7" max="7" width="10" customWidth="1"/>
    <col min="10" max="10" width="12" customWidth="1"/>
    <col min="12" max="12" width="15.5703125" customWidth="1"/>
  </cols>
  <sheetData>
    <row r="4" spans="2:21" ht="15.75" x14ac:dyDescent="0.25">
      <c r="B4" s="214" t="s">
        <v>178</v>
      </c>
      <c r="C4" s="214"/>
      <c r="D4" s="171" t="s">
        <v>179</v>
      </c>
      <c r="E4" s="172"/>
      <c r="F4" s="172"/>
      <c r="G4" s="187"/>
    </row>
    <row r="5" spans="2:21" ht="15.75" x14ac:dyDescent="0.25">
      <c r="B5" s="214" t="s">
        <v>36</v>
      </c>
      <c r="C5" s="214"/>
      <c r="D5" s="120" t="s">
        <v>439</v>
      </c>
      <c r="E5" s="121"/>
      <c r="F5" s="121"/>
      <c r="G5" s="192"/>
    </row>
    <row r="6" spans="2:21" ht="15.75" x14ac:dyDescent="0.25">
      <c r="B6" s="215" t="s">
        <v>181</v>
      </c>
      <c r="C6" s="215"/>
      <c r="D6" s="182" t="s">
        <v>398</v>
      </c>
      <c r="E6" s="183"/>
      <c r="F6" s="183"/>
      <c r="G6" s="188"/>
    </row>
    <row r="7" spans="2:21" ht="18.75" x14ac:dyDescent="0.25">
      <c r="B7" s="210" t="s">
        <v>183</v>
      </c>
      <c r="C7" s="211"/>
      <c r="D7" s="211"/>
      <c r="E7" s="211"/>
      <c r="F7" s="211"/>
      <c r="G7" s="212"/>
    </row>
    <row r="8" spans="2:21" ht="60" x14ac:dyDescent="0.25">
      <c r="B8" s="163" t="s">
        <v>184</v>
      </c>
      <c r="C8" s="163" t="s">
        <v>185</v>
      </c>
      <c r="D8" s="163" t="s">
        <v>186</v>
      </c>
      <c r="E8" s="127" t="s">
        <v>187</v>
      </c>
      <c r="F8" s="127" t="s">
        <v>188</v>
      </c>
      <c r="G8" s="163" t="s">
        <v>189</v>
      </c>
      <c r="I8" s="162" t="s">
        <v>375</v>
      </c>
      <c r="J8" s="163" t="s">
        <v>376</v>
      </c>
      <c r="K8" s="163" t="s">
        <v>186</v>
      </c>
      <c r="L8" s="127" t="s">
        <v>187</v>
      </c>
      <c r="M8" s="127" t="s">
        <v>188</v>
      </c>
      <c r="N8" s="163" t="s">
        <v>322</v>
      </c>
      <c r="P8" s="193" t="s">
        <v>375</v>
      </c>
      <c r="Q8" s="194" t="s">
        <v>440</v>
      </c>
      <c r="R8" s="193" t="s">
        <v>186</v>
      </c>
      <c r="S8" s="194" t="s">
        <v>187</v>
      </c>
      <c r="T8" s="194" t="s">
        <v>188</v>
      </c>
      <c r="U8" t="s">
        <v>322</v>
      </c>
    </row>
    <row r="9" spans="2:21" x14ac:dyDescent="0.25">
      <c r="B9" s="132">
        <v>1</v>
      </c>
      <c r="C9" s="195">
        <v>45027</v>
      </c>
      <c r="D9" s="165">
        <v>1250</v>
      </c>
      <c r="E9" s="165"/>
      <c r="F9" s="165"/>
      <c r="G9" s="144">
        <v>2790</v>
      </c>
      <c r="I9" s="144">
        <v>63</v>
      </c>
      <c r="J9" s="144">
        <v>10006</v>
      </c>
      <c r="K9" s="165">
        <f>+D19</f>
        <v>2450</v>
      </c>
      <c r="L9" s="165">
        <v>1324</v>
      </c>
      <c r="M9" s="165">
        <f>+K9-L9</f>
        <v>1126</v>
      </c>
      <c r="N9" s="144">
        <v>1250</v>
      </c>
      <c r="O9">
        <f>+N9-M9</f>
        <v>124</v>
      </c>
      <c r="P9" s="114">
        <v>63</v>
      </c>
      <c r="Q9" s="114">
        <v>10006</v>
      </c>
      <c r="R9" s="114">
        <v>3700</v>
      </c>
      <c r="S9" s="114">
        <f>1924+595</f>
        <v>2519</v>
      </c>
      <c r="T9" s="114">
        <f>+R9-S9</f>
        <v>1181</v>
      </c>
    </row>
    <row r="10" spans="2:21" x14ac:dyDescent="0.25">
      <c r="B10" s="174">
        <f>+B9+1</f>
        <v>2</v>
      </c>
      <c r="C10" s="175">
        <v>45040</v>
      </c>
      <c r="D10" s="174">
        <v>1200</v>
      </c>
      <c r="E10" s="174"/>
      <c r="F10" s="174"/>
      <c r="G10" s="132">
        <v>2792</v>
      </c>
      <c r="I10" s="144">
        <v>75</v>
      </c>
      <c r="J10" s="144">
        <v>4986</v>
      </c>
      <c r="K10" s="165">
        <f>+D33</f>
        <v>2150</v>
      </c>
      <c r="L10" s="165">
        <v>1334</v>
      </c>
      <c r="M10" s="165">
        <f t="shared" ref="M10:M13" si="0">+K10-L10</f>
        <v>816</v>
      </c>
      <c r="N10" s="144">
        <v>1350</v>
      </c>
      <c r="O10">
        <f t="shared" ref="O10:O13" si="1">+N10-M10</f>
        <v>534</v>
      </c>
      <c r="P10" s="114">
        <v>75</v>
      </c>
      <c r="Q10" s="114">
        <v>4986</v>
      </c>
      <c r="R10" s="114">
        <v>3500</v>
      </c>
      <c r="S10" s="114">
        <f>1934+553</f>
        <v>2487</v>
      </c>
      <c r="T10" s="114">
        <f>+R10-S10</f>
        <v>1013</v>
      </c>
    </row>
    <row r="11" spans="2:21" ht="25.5" x14ac:dyDescent="0.25">
      <c r="B11" s="132">
        <f>1+B10</f>
        <v>3</v>
      </c>
      <c r="C11" s="196">
        <v>45339</v>
      </c>
      <c r="D11" s="144">
        <v>1250</v>
      </c>
      <c r="E11" s="144">
        <v>595</v>
      </c>
      <c r="F11" s="144">
        <f>+D11-E11</f>
        <v>655</v>
      </c>
      <c r="G11" s="197" t="s">
        <v>441</v>
      </c>
      <c r="I11" s="144">
        <v>90</v>
      </c>
      <c r="J11" s="144">
        <v>3126</v>
      </c>
      <c r="K11" s="165">
        <f>+D46</f>
        <v>900</v>
      </c>
      <c r="L11" s="165">
        <f>+'[154]SURYAGARH JAGANNATH'!$I$65</f>
        <v>1069</v>
      </c>
      <c r="M11" s="165">
        <f>+K11-L11</f>
        <v>-169</v>
      </c>
      <c r="N11" s="144">
        <f>+D38</f>
        <v>803</v>
      </c>
      <c r="O11">
        <f t="shared" si="1"/>
        <v>972</v>
      </c>
      <c r="P11" s="114">
        <v>90</v>
      </c>
      <c r="Q11" s="114">
        <v>3126</v>
      </c>
      <c r="R11" s="114">
        <v>1703</v>
      </c>
      <c r="S11" s="114">
        <f>1069+65</f>
        <v>1134</v>
      </c>
      <c r="T11" s="114">
        <f>+R11-S11</f>
        <v>569</v>
      </c>
    </row>
    <row r="12" spans="2:21" x14ac:dyDescent="0.25">
      <c r="B12" s="132"/>
      <c r="C12" s="131"/>
      <c r="D12" s="132"/>
      <c r="E12" s="132"/>
      <c r="F12" s="132"/>
      <c r="G12" s="132"/>
      <c r="I12" s="144">
        <v>110</v>
      </c>
      <c r="J12" s="144">
        <v>1552</v>
      </c>
      <c r="K12" s="165">
        <f>+D58</f>
        <v>1050</v>
      </c>
      <c r="L12" s="165">
        <f>+'[154]SURYAGARH JAGANNATH'!$J$65</f>
        <v>816</v>
      </c>
      <c r="M12" s="165">
        <f t="shared" si="0"/>
        <v>234</v>
      </c>
      <c r="N12" s="144">
        <f>+D51</f>
        <v>84</v>
      </c>
      <c r="O12">
        <f t="shared" si="1"/>
        <v>-150</v>
      </c>
      <c r="P12" s="114">
        <v>110</v>
      </c>
      <c r="Q12" s="114">
        <v>1552</v>
      </c>
      <c r="R12" s="114">
        <v>1134</v>
      </c>
      <c r="S12" s="114">
        <f>816+82</f>
        <v>898</v>
      </c>
      <c r="T12" s="114">
        <f>+R12-S12</f>
        <v>236</v>
      </c>
    </row>
    <row r="13" spans="2:21" x14ac:dyDescent="0.25">
      <c r="B13" s="132"/>
      <c r="C13" s="131"/>
      <c r="D13" s="132"/>
      <c r="E13" s="132"/>
      <c r="F13" s="132"/>
      <c r="G13" s="132"/>
      <c r="I13" s="144">
        <v>140</v>
      </c>
      <c r="J13" s="144">
        <v>955</v>
      </c>
      <c r="K13" s="165">
        <f>+D69</f>
        <v>960</v>
      </c>
      <c r="L13" s="165">
        <f>+'[154]SURYAGARH JAGANNATH'!$L$65</f>
        <v>855</v>
      </c>
      <c r="M13" s="165">
        <f t="shared" si="0"/>
        <v>105</v>
      </c>
      <c r="N13" s="144">
        <f>+D63</f>
        <v>96</v>
      </c>
      <c r="O13">
        <f t="shared" si="1"/>
        <v>-9</v>
      </c>
      <c r="P13" s="114">
        <v>140</v>
      </c>
      <c r="Q13" s="114">
        <v>955</v>
      </c>
      <c r="R13" s="114">
        <v>1056</v>
      </c>
      <c r="S13" s="114">
        <v>855</v>
      </c>
      <c r="T13" s="114">
        <f>+R13-S13</f>
        <v>201</v>
      </c>
    </row>
    <row r="14" spans="2:21" x14ac:dyDescent="0.25">
      <c r="B14" s="132"/>
      <c r="C14" s="131"/>
      <c r="D14" s="132"/>
      <c r="E14" s="132"/>
      <c r="F14" s="132"/>
      <c r="G14" s="132"/>
      <c r="J14" s="198"/>
      <c r="K14" s="136"/>
      <c r="L14" s="136"/>
      <c r="M14" s="136"/>
    </row>
    <row r="15" spans="2:21" x14ac:dyDescent="0.25">
      <c r="B15" s="132"/>
      <c r="C15" s="131"/>
      <c r="D15" s="132"/>
      <c r="E15" s="132"/>
      <c r="F15" s="132"/>
      <c r="G15" s="173"/>
      <c r="I15" s="198"/>
      <c r="J15" s="198"/>
      <c r="K15" s="136"/>
      <c r="L15" s="136"/>
      <c r="M15" s="136"/>
    </row>
    <row r="16" spans="2:21" x14ac:dyDescent="0.25">
      <c r="B16" s="132"/>
      <c r="C16" s="131"/>
      <c r="D16" s="132"/>
      <c r="E16" s="132"/>
      <c r="F16" s="132"/>
      <c r="G16" s="173"/>
      <c r="T16">
        <f>7893-6598</f>
        <v>1295</v>
      </c>
    </row>
    <row r="17" spans="2:21" x14ac:dyDescent="0.25">
      <c r="B17" s="132"/>
      <c r="C17" s="131"/>
      <c r="D17" s="132"/>
      <c r="E17" s="132"/>
      <c r="F17" s="132"/>
      <c r="G17" s="173"/>
    </row>
    <row r="18" spans="2:21" x14ac:dyDescent="0.25">
      <c r="B18" s="132"/>
      <c r="C18" s="131"/>
      <c r="D18" s="132"/>
      <c r="E18" s="132"/>
      <c r="F18" s="132"/>
      <c r="G18" s="173"/>
      <c r="J18" s="216"/>
      <c r="K18" s="217"/>
      <c r="L18" s="114"/>
      <c r="M18" s="114"/>
      <c r="N18" s="114"/>
      <c r="O18" s="114"/>
      <c r="P18" s="114"/>
    </row>
    <row r="19" spans="2:21" ht="45" x14ac:dyDescent="0.25">
      <c r="B19" s="132"/>
      <c r="C19" s="131" t="s">
        <v>190</v>
      </c>
      <c r="D19" s="132">
        <f>SUM(D9:D10)</f>
        <v>2450</v>
      </c>
      <c r="E19" s="132"/>
      <c r="F19" s="132"/>
      <c r="G19" s="173"/>
      <c r="J19" s="213" t="s">
        <v>197</v>
      </c>
      <c r="K19" s="213"/>
      <c r="L19" s="164" t="s">
        <v>198</v>
      </c>
      <c r="M19" s="141" t="s">
        <v>199</v>
      </c>
      <c r="N19" s="141" t="s">
        <v>200</v>
      </c>
      <c r="O19" s="141" t="s">
        <v>201</v>
      </c>
      <c r="P19" s="141" t="s">
        <v>202</v>
      </c>
      <c r="S19" s="201">
        <f>3700-1924</f>
        <v>1776</v>
      </c>
      <c r="U19" t="s">
        <v>322</v>
      </c>
    </row>
    <row r="20" spans="2:21" ht="18.75" x14ac:dyDescent="0.25">
      <c r="B20" s="210" t="s">
        <v>191</v>
      </c>
      <c r="C20" s="211"/>
      <c r="D20" s="211"/>
      <c r="E20" s="211"/>
      <c r="F20" s="211"/>
      <c r="G20" s="212"/>
      <c r="J20" s="204" t="s">
        <v>204</v>
      </c>
      <c r="K20" s="204"/>
      <c r="L20" s="143" t="s">
        <v>205</v>
      </c>
      <c r="M20" s="165">
        <v>7</v>
      </c>
      <c r="N20" s="114"/>
      <c r="O20" s="114"/>
      <c r="P20" s="114"/>
    </row>
    <row r="21" spans="2:21" ht="60" x14ac:dyDescent="0.25">
      <c r="B21" s="163" t="s">
        <v>184</v>
      </c>
      <c r="C21" s="163" t="s">
        <v>185</v>
      </c>
      <c r="D21" s="163" t="s">
        <v>186</v>
      </c>
      <c r="E21" s="127" t="s">
        <v>187</v>
      </c>
      <c r="F21" s="127" t="s">
        <v>188</v>
      </c>
      <c r="G21" s="163" t="s">
        <v>202</v>
      </c>
      <c r="J21" s="204"/>
      <c r="K21" s="204"/>
      <c r="L21" s="143" t="s">
        <v>208</v>
      </c>
      <c r="M21" s="144">
        <v>2</v>
      </c>
      <c r="N21" s="114"/>
      <c r="O21" s="114"/>
      <c r="P21" s="114"/>
    </row>
    <row r="22" spans="2:21" x14ac:dyDescent="0.25">
      <c r="B22" s="132">
        <v>1</v>
      </c>
      <c r="C22" s="195">
        <v>45027</v>
      </c>
      <c r="D22" s="165">
        <v>800</v>
      </c>
      <c r="E22" s="165"/>
      <c r="F22" s="165"/>
      <c r="G22" s="144">
        <v>2790</v>
      </c>
      <c r="J22" s="204"/>
      <c r="K22" s="204"/>
      <c r="L22" s="143" t="s">
        <v>210</v>
      </c>
      <c r="M22" s="165">
        <v>8</v>
      </c>
      <c r="N22" s="114"/>
      <c r="O22" s="114"/>
      <c r="P22" s="114"/>
    </row>
    <row r="23" spans="2:21" x14ac:dyDescent="0.25">
      <c r="B23" s="174">
        <f>+B22+1</f>
        <v>2</v>
      </c>
      <c r="C23" s="175">
        <v>45040</v>
      </c>
      <c r="D23" s="174">
        <v>1350</v>
      </c>
      <c r="E23" s="174"/>
      <c r="F23" s="174"/>
      <c r="G23" s="132">
        <v>2792</v>
      </c>
      <c r="J23" s="204"/>
      <c r="K23" s="204"/>
      <c r="L23" s="143" t="s">
        <v>213</v>
      </c>
      <c r="M23" s="144">
        <v>3</v>
      </c>
      <c r="N23" s="114"/>
      <c r="O23" s="114"/>
      <c r="P23" s="114"/>
    </row>
    <row r="24" spans="2:21" ht="25.5" x14ac:dyDescent="0.25">
      <c r="B24" s="132">
        <v>3</v>
      </c>
      <c r="C24" s="131">
        <v>45339</v>
      </c>
      <c r="D24" s="132">
        <v>1350</v>
      </c>
      <c r="E24" s="132">
        <v>553</v>
      </c>
      <c r="F24" s="132">
        <f>+D24-E24</f>
        <v>797</v>
      </c>
      <c r="G24" s="197" t="s">
        <v>441</v>
      </c>
      <c r="J24" s="204"/>
      <c r="K24" s="204"/>
      <c r="L24" s="143" t="s">
        <v>216</v>
      </c>
      <c r="M24" s="144"/>
      <c r="N24" s="114"/>
      <c r="O24" s="114"/>
      <c r="P24" s="114"/>
    </row>
    <row r="25" spans="2:21" x14ac:dyDescent="0.25">
      <c r="B25" s="132"/>
      <c r="C25" s="131"/>
      <c r="D25" s="132"/>
      <c r="E25" s="132"/>
      <c r="F25" s="132"/>
      <c r="G25" s="132"/>
      <c r="J25" s="204"/>
      <c r="K25" s="204"/>
      <c r="L25" s="143" t="s">
        <v>217</v>
      </c>
      <c r="M25" s="144">
        <v>1</v>
      </c>
      <c r="N25" s="114"/>
      <c r="O25" s="114"/>
      <c r="P25" s="114"/>
    </row>
    <row r="26" spans="2:21" x14ac:dyDescent="0.25">
      <c r="B26" s="132"/>
      <c r="C26" s="131"/>
      <c r="D26" s="132"/>
      <c r="E26" s="132"/>
      <c r="F26" s="132"/>
      <c r="G26" s="132"/>
      <c r="J26" s="204"/>
      <c r="K26" s="204"/>
      <c r="L26" s="143" t="s">
        <v>218</v>
      </c>
      <c r="M26" s="144"/>
      <c r="N26" s="114"/>
      <c r="O26" s="114"/>
      <c r="P26" s="114"/>
    </row>
    <row r="27" spans="2:21" x14ac:dyDescent="0.25">
      <c r="B27" s="132"/>
      <c r="C27" s="131"/>
      <c r="D27" s="132"/>
      <c r="E27" s="132"/>
      <c r="F27" s="132"/>
      <c r="G27" s="132"/>
      <c r="J27" s="204"/>
      <c r="K27" s="204"/>
      <c r="L27" s="143" t="s">
        <v>219</v>
      </c>
      <c r="M27" s="144"/>
      <c r="N27" s="114"/>
      <c r="O27" s="114"/>
      <c r="P27" s="114"/>
    </row>
    <row r="28" spans="2:21" x14ac:dyDescent="0.25">
      <c r="B28" s="132"/>
      <c r="C28" s="131"/>
      <c r="D28" s="132"/>
      <c r="E28" s="132"/>
      <c r="F28" s="132"/>
      <c r="G28" s="132"/>
      <c r="J28" s="204"/>
      <c r="K28" s="204"/>
      <c r="L28" s="143" t="s">
        <v>220</v>
      </c>
      <c r="M28" s="144"/>
      <c r="N28" s="114"/>
      <c r="O28" s="114"/>
      <c r="P28" s="114"/>
    </row>
    <row r="29" spans="2:21" x14ac:dyDescent="0.25">
      <c r="B29" s="132"/>
      <c r="C29" s="131"/>
      <c r="D29" s="132"/>
      <c r="E29" s="132"/>
      <c r="F29" s="132"/>
      <c r="G29" s="132"/>
      <c r="J29" s="204" t="s">
        <v>54</v>
      </c>
      <c r="K29" s="204"/>
      <c r="L29" s="143" t="s">
        <v>221</v>
      </c>
      <c r="M29" s="144"/>
      <c r="N29" s="114"/>
      <c r="O29" s="114"/>
      <c r="P29" s="114"/>
    </row>
    <row r="30" spans="2:21" x14ac:dyDescent="0.25">
      <c r="B30" s="132"/>
      <c r="C30" s="131"/>
      <c r="D30" s="132"/>
      <c r="E30" s="132"/>
      <c r="F30" s="132"/>
      <c r="G30" s="132"/>
      <c r="J30" s="204"/>
      <c r="K30" s="204"/>
      <c r="L30" s="143" t="s">
        <v>222</v>
      </c>
      <c r="M30" s="144"/>
      <c r="N30" s="114"/>
      <c r="O30" s="114"/>
      <c r="P30" s="114"/>
    </row>
    <row r="31" spans="2:21" x14ac:dyDescent="0.25">
      <c r="B31" s="132"/>
      <c r="C31" s="131"/>
      <c r="D31" s="132"/>
      <c r="E31" s="132"/>
      <c r="F31" s="132"/>
      <c r="G31" s="132"/>
      <c r="J31" s="204"/>
      <c r="K31" s="204"/>
      <c r="L31" s="143" t="s">
        <v>223</v>
      </c>
      <c r="M31" s="144"/>
      <c r="N31" s="114"/>
      <c r="O31" s="114"/>
      <c r="P31" s="114"/>
    </row>
    <row r="32" spans="2:21" x14ac:dyDescent="0.25">
      <c r="B32" s="132"/>
      <c r="C32" s="131"/>
      <c r="D32" s="132"/>
      <c r="E32" s="132"/>
      <c r="F32" s="132"/>
      <c r="G32" s="173"/>
      <c r="J32" s="204"/>
      <c r="K32" s="204"/>
      <c r="L32" s="143" t="s">
        <v>224</v>
      </c>
      <c r="M32" s="144"/>
      <c r="N32" s="114"/>
      <c r="O32" s="114"/>
      <c r="P32" s="114"/>
    </row>
    <row r="33" spans="2:16" x14ac:dyDescent="0.25">
      <c r="B33" s="132"/>
      <c r="C33" s="131" t="s">
        <v>190</v>
      </c>
      <c r="D33" s="132">
        <f>SUM(D22:D23)</f>
        <v>2150</v>
      </c>
      <c r="E33" s="132"/>
      <c r="F33" s="132"/>
      <c r="G33" s="173"/>
      <c r="J33" s="204"/>
      <c r="K33" s="204"/>
      <c r="L33" s="143" t="s">
        <v>225</v>
      </c>
      <c r="M33" s="144"/>
      <c r="N33" s="114"/>
      <c r="O33" s="114"/>
      <c r="P33" s="114"/>
    </row>
    <row r="34" spans="2:16" ht="18.75" x14ac:dyDescent="0.25">
      <c r="B34" s="210" t="s">
        <v>192</v>
      </c>
      <c r="C34" s="211"/>
      <c r="D34" s="211"/>
      <c r="E34" s="211"/>
      <c r="F34" s="211"/>
      <c r="G34" s="212"/>
      <c r="J34" s="204"/>
      <c r="K34" s="204"/>
      <c r="L34" s="143" t="s">
        <v>226</v>
      </c>
      <c r="M34" s="144"/>
      <c r="N34" s="114"/>
      <c r="O34" s="114"/>
      <c r="P34" s="114"/>
    </row>
    <row r="35" spans="2:16" ht="60" x14ac:dyDescent="0.25">
      <c r="B35" s="163" t="s">
        <v>184</v>
      </c>
      <c r="C35" s="163" t="s">
        <v>185</v>
      </c>
      <c r="D35" s="163" t="s">
        <v>186</v>
      </c>
      <c r="E35" s="127" t="s">
        <v>187</v>
      </c>
      <c r="F35" s="127" t="s">
        <v>188</v>
      </c>
      <c r="G35" s="163" t="s">
        <v>202</v>
      </c>
      <c r="J35" s="204"/>
      <c r="K35" s="204"/>
      <c r="L35" s="143" t="s">
        <v>227</v>
      </c>
      <c r="M35" s="144"/>
      <c r="N35" s="114"/>
      <c r="O35" s="114"/>
      <c r="P35" s="114"/>
    </row>
    <row r="36" spans="2:16" x14ac:dyDescent="0.25">
      <c r="B36" s="174">
        <v>1</v>
      </c>
      <c r="C36" s="195">
        <v>45027</v>
      </c>
      <c r="D36" s="165">
        <v>300</v>
      </c>
      <c r="E36" s="165"/>
      <c r="F36" s="165"/>
      <c r="G36" s="144">
        <v>2790</v>
      </c>
      <c r="J36" s="204"/>
      <c r="K36" s="204"/>
      <c r="L36" s="143" t="s">
        <v>228</v>
      </c>
      <c r="M36" s="165"/>
      <c r="N36" s="165"/>
      <c r="O36" s="165"/>
      <c r="P36" s="165"/>
    </row>
    <row r="37" spans="2:16" x14ac:dyDescent="0.25">
      <c r="B37" s="174">
        <f>+B36+1</f>
        <v>2</v>
      </c>
      <c r="C37" s="175">
        <v>45040</v>
      </c>
      <c r="D37" s="174">
        <v>600</v>
      </c>
      <c r="E37" s="174"/>
      <c r="F37" s="174"/>
      <c r="G37" s="132">
        <v>2792</v>
      </c>
      <c r="J37" s="204"/>
      <c r="K37" s="204"/>
      <c r="L37" s="143" t="s">
        <v>230</v>
      </c>
      <c r="M37" s="144"/>
      <c r="N37" s="114"/>
      <c r="O37" s="114"/>
      <c r="P37" s="114"/>
    </row>
    <row r="38" spans="2:16" ht="25.5" x14ac:dyDescent="0.25">
      <c r="B38" s="132">
        <v>3</v>
      </c>
      <c r="C38" s="131">
        <v>45339</v>
      </c>
      <c r="D38" s="132">
        <v>803</v>
      </c>
      <c r="E38" s="132">
        <v>65</v>
      </c>
      <c r="F38" s="132">
        <f>+D38-E38</f>
        <v>738</v>
      </c>
      <c r="G38" s="197" t="s">
        <v>441</v>
      </c>
      <c r="J38" s="204"/>
      <c r="K38" s="204"/>
      <c r="L38" s="143" t="s">
        <v>233</v>
      </c>
      <c r="M38" s="144"/>
      <c r="N38" s="114"/>
      <c r="O38" s="114"/>
      <c r="P38" s="114"/>
    </row>
    <row r="39" spans="2:16" x14ac:dyDescent="0.25">
      <c r="B39" s="132"/>
      <c r="C39" s="131"/>
      <c r="D39" s="132"/>
      <c r="E39" s="132"/>
      <c r="F39" s="132"/>
      <c r="G39" s="132"/>
      <c r="J39" s="204"/>
      <c r="K39" s="204"/>
      <c r="L39" s="143" t="s">
        <v>235</v>
      </c>
      <c r="M39" s="144">
        <v>4</v>
      </c>
      <c r="N39" s="114"/>
      <c r="O39" s="114"/>
      <c r="P39" s="114"/>
    </row>
    <row r="40" spans="2:16" x14ac:dyDescent="0.25">
      <c r="B40" s="132"/>
      <c r="C40" s="131"/>
      <c r="D40" s="132"/>
      <c r="E40" s="132"/>
      <c r="F40" s="132"/>
      <c r="G40" s="132"/>
      <c r="J40" s="204"/>
      <c r="K40" s="204"/>
      <c r="L40" s="143" t="s">
        <v>238</v>
      </c>
      <c r="M40" s="144"/>
      <c r="N40" s="114"/>
      <c r="O40" s="114"/>
      <c r="P40" s="114"/>
    </row>
    <row r="41" spans="2:16" x14ac:dyDescent="0.25">
      <c r="B41" s="174"/>
      <c r="C41" s="175"/>
      <c r="D41" s="174"/>
      <c r="E41" s="174"/>
      <c r="F41" s="174"/>
      <c r="G41" s="132"/>
      <c r="J41" s="204"/>
      <c r="K41" s="204"/>
      <c r="L41" s="143" t="s">
        <v>239</v>
      </c>
      <c r="M41" s="144">
        <v>4</v>
      </c>
      <c r="N41" s="114"/>
      <c r="O41" s="114"/>
      <c r="P41" s="114"/>
    </row>
    <row r="42" spans="2:16" x14ac:dyDescent="0.25">
      <c r="B42" s="174"/>
      <c r="C42" s="175"/>
      <c r="D42" s="176"/>
      <c r="E42" s="174"/>
      <c r="F42" s="174"/>
      <c r="G42" s="132"/>
      <c r="J42" s="204"/>
      <c r="K42" s="204"/>
      <c r="L42" s="143" t="s">
        <v>242</v>
      </c>
      <c r="M42" s="144"/>
      <c r="N42" s="114"/>
      <c r="O42" s="114"/>
      <c r="P42" s="114"/>
    </row>
    <row r="43" spans="2:16" x14ac:dyDescent="0.25">
      <c r="B43" s="174"/>
      <c r="C43" s="175"/>
      <c r="D43" s="176"/>
      <c r="E43" s="174"/>
      <c r="F43" s="174"/>
      <c r="G43" s="132"/>
      <c r="J43" s="204"/>
      <c r="K43" s="204"/>
      <c r="L43" s="143" t="s">
        <v>243</v>
      </c>
      <c r="M43" s="144"/>
      <c r="N43" s="114"/>
      <c r="O43" s="114"/>
      <c r="P43" s="114"/>
    </row>
    <row r="44" spans="2:16" x14ac:dyDescent="0.25">
      <c r="B44" s="174"/>
      <c r="C44" s="175"/>
      <c r="D44" s="176"/>
      <c r="E44" s="174"/>
      <c r="F44" s="174"/>
      <c r="G44" s="173"/>
      <c r="J44" s="204"/>
      <c r="K44" s="204"/>
      <c r="L44" s="143" t="s">
        <v>244</v>
      </c>
      <c r="M44" s="144"/>
      <c r="N44" s="114"/>
      <c r="O44" s="114"/>
      <c r="P44" s="114"/>
    </row>
    <row r="45" spans="2:16" x14ac:dyDescent="0.25">
      <c r="B45" s="174"/>
      <c r="C45" s="175"/>
      <c r="D45" s="176"/>
      <c r="E45" s="174"/>
      <c r="F45" s="174"/>
      <c r="G45" s="173"/>
      <c r="J45" s="204"/>
      <c r="K45" s="204"/>
      <c r="L45" s="143" t="s">
        <v>245</v>
      </c>
      <c r="M45" s="144"/>
      <c r="N45" s="114"/>
      <c r="O45" s="114"/>
      <c r="P45" s="114"/>
    </row>
    <row r="46" spans="2:16" x14ac:dyDescent="0.25">
      <c r="B46" s="174"/>
      <c r="C46" s="131" t="s">
        <v>190</v>
      </c>
      <c r="D46" s="132">
        <f>SUM(D36:D37)</f>
        <v>900</v>
      </c>
      <c r="E46" s="174"/>
      <c r="F46" s="174"/>
      <c r="G46" s="173"/>
      <c r="J46" s="204"/>
      <c r="K46" s="204"/>
      <c r="L46" s="143" t="s">
        <v>246</v>
      </c>
      <c r="M46" s="144">
        <v>4</v>
      </c>
      <c r="N46" s="114"/>
      <c r="O46" s="114"/>
      <c r="P46" s="114"/>
    </row>
    <row r="47" spans="2:16" ht="18.75" x14ac:dyDescent="0.25">
      <c r="B47" s="210" t="s">
        <v>193</v>
      </c>
      <c r="C47" s="211"/>
      <c r="D47" s="211"/>
      <c r="E47" s="211"/>
      <c r="F47" s="211"/>
      <c r="G47" s="212"/>
      <c r="J47" s="204"/>
      <c r="K47" s="204"/>
      <c r="L47" s="143" t="s">
        <v>249</v>
      </c>
      <c r="M47" s="144"/>
      <c r="N47" s="114"/>
      <c r="O47" s="114"/>
      <c r="P47" s="114"/>
    </row>
    <row r="48" spans="2:16" ht="60" x14ac:dyDescent="0.25">
      <c r="B48" s="163" t="s">
        <v>184</v>
      </c>
      <c r="C48" s="163" t="s">
        <v>185</v>
      </c>
      <c r="D48" s="163" t="s">
        <v>186</v>
      </c>
      <c r="E48" s="127" t="s">
        <v>187</v>
      </c>
      <c r="F48" s="127" t="s">
        <v>188</v>
      </c>
      <c r="G48" s="163" t="s">
        <v>202</v>
      </c>
      <c r="J48" s="204"/>
      <c r="K48" s="204"/>
      <c r="L48" s="143" t="s">
        <v>252</v>
      </c>
      <c r="M48" s="144">
        <v>6</v>
      </c>
      <c r="N48" s="114"/>
      <c r="O48" s="114"/>
      <c r="P48" s="114"/>
    </row>
    <row r="49" spans="2:16" x14ac:dyDescent="0.25">
      <c r="B49" s="132">
        <v>1</v>
      </c>
      <c r="C49" s="195">
        <v>45027</v>
      </c>
      <c r="D49" s="165">
        <v>300</v>
      </c>
      <c r="E49" s="165"/>
      <c r="F49" s="165"/>
      <c r="G49" s="144">
        <v>2790</v>
      </c>
      <c r="J49" s="204"/>
      <c r="K49" s="204"/>
      <c r="L49" s="143" t="s">
        <v>254</v>
      </c>
      <c r="M49" s="144">
        <v>4</v>
      </c>
      <c r="N49" s="114"/>
      <c r="O49" s="114"/>
      <c r="P49" s="114"/>
    </row>
    <row r="50" spans="2:16" x14ac:dyDescent="0.25">
      <c r="B50" s="132">
        <v>2</v>
      </c>
      <c r="C50" s="199">
        <v>45040</v>
      </c>
      <c r="D50" s="144">
        <v>750</v>
      </c>
      <c r="E50" s="144"/>
      <c r="F50" s="144"/>
      <c r="G50" s="144">
        <v>2792</v>
      </c>
      <c r="J50" s="204"/>
      <c r="K50" s="204"/>
      <c r="L50" s="143" t="s">
        <v>257</v>
      </c>
      <c r="M50" s="144"/>
      <c r="N50" s="114"/>
      <c r="O50" s="114"/>
      <c r="P50" s="114"/>
    </row>
    <row r="51" spans="2:16" ht="25.5" x14ac:dyDescent="0.25">
      <c r="B51" s="132">
        <v>3</v>
      </c>
      <c r="C51" s="200">
        <v>45339</v>
      </c>
      <c r="D51" s="148">
        <v>84</v>
      </c>
      <c r="E51" s="148">
        <v>82</v>
      </c>
      <c r="F51" s="148">
        <f>+D51-E51</f>
        <v>2</v>
      </c>
      <c r="G51" s="197" t="s">
        <v>441</v>
      </c>
      <c r="J51" s="204"/>
      <c r="K51" s="204"/>
      <c r="L51" s="143" t="s">
        <v>258</v>
      </c>
      <c r="M51" s="144"/>
      <c r="N51" s="114"/>
      <c r="O51" s="114"/>
      <c r="P51" s="114"/>
    </row>
    <row r="52" spans="2:16" x14ac:dyDescent="0.25">
      <c r="B52" s="132">
        <v>4</v>
      </c>
      <c r="C52" s="200"/>
      <c r="D52" s="132"/>
      <c r="E52" s="132"/>
      <c r="F52" s="132"/>
      <c r="G52" s="132"/>
      <c r="J52" s="204"/>
      <c r="K52" s="204"/>
      <c r="L52" s="143" t="s">
        <v>259</v>
      </c>
      <c r="M52" s="144"/>
      <c r="N52" s="114"/>
      <c r="O52" s="114"/>
      <c r="P52" s="114"/>
    </row>
    <row r="53" spans="2:16" x14ac:dyDescent="0.25">
      <c r="B53" s="132">
        <v>5</v>
      </c>
      <c r="C53" s="131"/>
      <c r="D53" s="132"/>
      <c r="E53" s="132"/>
      <c r="F53" s="132"/>
      <c r="G53" s="132"/>
      <c r="J53" s="204"/>
      <c r="K53" s="204"/>
      <c r="L53" s="143" t="s">
        <v>260</v>
      </c>
      <c r="M53" s="144"/>
      <c r="N53" s="114"/>
      <c r="O53" s="114"/>
      <c r="P53" s="114"/>
    </row>
    <row r="54" spans="2:16" x14ac:dyDescent="0.25">
      <c r="B54" s="132">
        <v>6</v>
      </c>
      <c r="C54" s="131"/>
      <c r="D54" s="132"/>
      <c r="E54" s="132"/>
      <c r="F54" s="132"/>
      <c r="G54" s="132"/>
      <c r="J54" s="204"/>
      <c r="K54" s="204"/>
      <c r="L54" s="143" t="s">
        <v>261</v>
      </c>
      <c r="M54" s="144"/>
      <c r="N54" s="114"/>
      <c r="O54" s="114"/>
      <c r="P54" s="114"/>
    </row>
    <row r="55" spans="2:16" x14ac:dyDescent="0.25">
      <c r="B55" s="132">
        <v>7</v>
      </c>
      <c r="C55" s="131"/>
      <c r="D55" s="132"/>
      <c r="E55" s="132"/>
      <c r="F55" s="132"/>
      <c r="G55" s="132"/>
      <c r="J55" s="204"/>
      <c r="K55" s="204"/>
      <c r="L55" s="143" t="s">
        <v>262</v>
      </c>
      <c r="M55" s="144"/>
      <c r="N55" s="114"/>
      <c r="O55" s="114"/>
      <c r="P55" s="114"/>
    </row>
    <row r="56" spans="2:16" x14ac:dyDescent="0.25">
      <c r="B56" s="132">
        <f>+B55+1</f>
        <v>8</v>
      </c>
      <c r="C56" s="131"/>
      <c r="D56" s="132"/>
      <c r="E56" s="132"/>
      <c r="F56" s="132"/>
      <c r="G56" s="173"/>
      <c r="J56" s="204"/>
      <c r="K56" s="204"/>
      <c r="L56" s="143" t="s">
        <v>263</v>
      </c>
      <c r="M56" s="144"/>
      <c r="N56" s="114"/>
      <c r="O56" s="114"/>
      <c r="P56" s="114"/>
    </row>
    <row r="57" spans="2:16" x14ac:dyDescent="0.25">
      <c r="B57" s="132"/>
      <c r="C57" s="131"/>
      <c r="D57" s="132"/>
      <c r="E57" s="132"/>
      <c r="F57" s="132"/>
      <c r="G57" s="173"/>
      <c r="J57" s="204"/>
      <c r="K57" s="204"/>
      <c r="L57" s="143" t="s">
        <v>264</v>
      </c>
      <c r="M57" s="144"/>
      <c r="N57" s="114"/>
      <c r="O57" s="114"/>
      <c r="P57" s="114"/>
    </row>
    <row r="58" spans="2:16" x14ac:dyDescent="0.25">
      <c r="B58" s="132"/>
      <c r="C58" s="131" t="s">
        <v>190</v>
      </c>
      <c r="D58" s="132">
        <f>SUM(D48:D50)</f>
        <v>1050</v>
      </c>
      <c r="E58" s="132"/>
      <c r="F58" s="132"/>
      <c r="G58" s="173"/>
      <c r="J58" s="204"/>
      <c r="K58" s="204"/>
      <c r="L58" s="143" t="s">
        <v>265</v>
      </c>
      <c r="M58" s="144"/>
      <c r="N58" s="114"/>
      <c r="O58" s="114"/>
      <c r="P58" s="114"/>
    </row>
    <row r="59" spans="2:16" x14ac:dyDescent="0.25">
      <c r="B59" s="184"/>
      <c r="C59" s="186"/>
      <c r="D59" s="185"/>
      <c r="E59" s="185"/>
      <c r="F59" s="185"/>
      <c r="G59" s="173"/>
      <c r="J59" s="204"/>
      <c r="K59" s="204"/>
      <c r="L59" s="143" t="s">
        <v>266</v>
      </c>
      <c r="M59" s="144"/>
      <c r="N59" s="114"/>
      <c r="O59" s="114"/>
      <c r="P59" s="114"/>
    </row>
    <row r="60" spans="2:16" ht="18.75" x14ac:dyDescent="0.25">
      <c r="B60" s="210" t="s">
        <v>195</v>
      </c>
      <c r="C60" s="211"/>
      <c r="D60" s="211"/>
      <c r="E60" s="211"/>
      <c r="F60" s="211"/>
      <c r="G60" s="212"/>
      <c r="J60" s="204"/>
      <c r="K60" s="204"/>
      <c r="L60" s="143" t="s">
        <v>267</v>
      </c>
      <c r="M60" s="144"/>
      <c r="N60" s="114"/>
      <c r="O60" s="114"/>
      <c r="P60" s="114"/>
    </row>
    <row r="61" spans="2:16" ht="60" x14ac:dyDescent="0.25">
      <c r="B61" s="163" t="s">
        <v>184</v>
      </c>
      <c r="C61" s="163" t="s">
        <v>185</v>
      </c>
      <c r="D61" s="163" t="s">
        <v>186</v>
      </c>
      <c r="E61" s="127" t="s">
        <v>187</v>
      </c>
      <c r="F61" s="127" t="s">
        <v>188</v>
      </c>
      <c r="G61" s="163" t="s">
        <v>202</v>
      </c>
      <c r="J61" s="204"/>
      <c r="K61" s="204"/>
      <c r="L61" s="143" t="s">
        <v>268</v>
      </c>
      <c r="M61" s="144"/>
      <c r="N61" s="114"/>
      <c r="O61" s="114"/>
      <c r="P61" s="114"/>
    </row>
    <row r="62" spans="2:16" x14ac:dyDescent="0.25">
      <c r="B62" s="132">
        <v>1</v>
      </c>
      <c r="C62" s="131">
        <v>45027</v>
      </c>
      <c r="D62" s="132">
        <v>960</v>
      </c>
      <c r="E62" s="132"/>
      <c r="F62" s="132"/>
      <c r="G62" s="132">
        <v>2790</v>
      </c>
      <c r="J62" s="204"/>
      <c r="K62" s="204"/>
      <c r="L62" s="143" t="s">
        <v>269</v>
      </c>
      <c r="M62" s="144"/>
      <c r="N62" s="114"/>
      <c r="O62" s="114"/>
      <c r="P62" s="114"/>
    </row>
    <row r="63" spans="2:16" ht="25.5" x14ac:dyDescent="0.25">
      <c r="B63" s="132">
        <v>2</v>
      </c>
      <c r="C63" s="131">
        <v>45339</v>
      </c>
      <c r="D63" s="132">
        <f>12*8</f>
        <v>96</v>
      </c>
      <c r="E63" s="132"/>
      <c r="F63" s="132"/>
      <c r="G63" s="197" t="s">
        <v>441</v>
      </c>
      <c r="J63" s="204"/>
      <c r="K63" s="204"/>
      <c r="L63" s="143" t="s">
        <v>270</v>
      </c>
      <c r="M63" s="144"/>
      <c r="N63" s="114"/>
      <c r="O63" s="114"/>
      <c r="P63" s="114"/>
    </row>
    <row r="64" spans="2:16" x14ac:dyDescent="0.25">
      <c r="B64" s="132"/>
      <c r="C64" s="131"/>
      <c r="D64" s="132"/>
      <c r="E64" s="132"/>
      <c r="F64" s="132"/>
      <c r="G64" s="132"/>
      <c r="J64" s="204"/>
      <c r="K64" s="204"/>
      <c r="L64" s="143" t="s">
        <v>271</v>
      </c>
      <c r="M64" s="144"/>
      <c r="N64" s="114"/>
      <c r="O64" s="114"/>
      <c r="P64" s="114"/>
    </row>
    <row r="65" spans="2:16" x14ac:dyDescent="0.25">
      <c r="B65" s="132"/>
      <c r="C65" s="131"/>
      <c r="D65" s="132"/>
      <c r="E65" s="132"/>
      <c r="F65" s="132"/>
      <c r="G65" s="132"/>
      <c r="J65" s="204"/>
      <c r="K65" s="204"/>
      <c r="L65" s="143" t="s">
        <v>272</v>
      </c>
      <c r="M65" s="144"/>
      <c r="N65" s="114"/>
      <c r="O65" s="114"/>
      <c r="P65" s="114"/>
    </row>
    <row r="66" spans="2:16" x14ac:dyDescent="0.25">
      <c r="B66" s="132"/>
      <c r="C66" s="131"/>
      <c r="D66" s="132"/>
      <c r="E66" s="132"/>
      <c r="F66" s="132"/>
      <c r="G66" s="132"/>
      <c r="J66" s="204"/>
      <c r="K66" s="204"/>
      <c r="L66" s="143" t="s">
        <v>273</v>
      </c>
      <c r="M66" s="144"/>
      <c r="N66" s="114"/>
      <c r="O66" s="114"/>
      <c r="P66" s="114"/>
    </row>
    <row r="67" spans="2:16" x14ac:dyDescent="0.25">
      <c r="B67" s="132"/>
      <c r="C67" s="131"/>
      <c r="D67" s="132"/>
      <c r="E67" s="132"/>
      <c r="F67" s="132"/>
      <c r="G67" s="132"/>
      <c r="J67" s="204"/>
      <c r="K67" s="204"/>
      <c r="L67" s="143" t="s">
        <v>274</v>
      </c>
      <c r="M67" s="144"/>
      <c r="N67" s="114"/>
      <c r="O67" s="114"/>
      <c r="P67" s="114"/>
    </row>
    <row r="68" spans="2:16" x14ac:dyDescent="0.25">
      <c r="B68" s="132"/>
      <c r="C68" s="131"/>
      <c r="D68" s="132"/>
      <c r="E68" s="132"/>
      <c r="F68" s="132"/>
      <c r="G68" s="132"/>
      <c r="J68" s="204"/>
      <c r="K68" s="204"/>
      <c r="L68" s="143" t="s">
        <v>275</v>
      </c>
      <c r="M68" s="144"/>
      <c r="N68" s="114"/>
      <c r="O68" s="114"/>
      <c r="P68" s="114"/>
    </row>
    <row r="69" spans="2:16" x14ac:dyDescent="0.25">
      <c r="B69" s="132"/>
      <c r="C69" s="131" t="s">
        <v>190</v>
      </c>
      <c r="D69" s="132">
        <f>+SUM(D62)</f>
        <v>960</v>
      </c>
      <c r="E69" s="132"/>
      <c r="F69" s="132"/>
      <c r="G69" s="132"/>
      <c r="J69" s="204"/>
      <c r="K69" s="204"/>
      <c r="L69" s="143" t="s">
        <v>276</v>
      </c>
      <c r="M69" s="144"/>
      <c r="N69" s="114"/>
      <c r="O69" s="114"/>
      <c r="P69" s="114"/>
    </row>
    <row r="70" spans="2:16" x14ac:dyDescent="0.25">
      <c r="J70" s="204" t="s">
        <v>277</v>
      </c>
      <c r="K70" s="204"/>
      <c r="L70" s="143" t="s">
        <v>205</v>
      </c>
      <c r="M70" s="144"/>
      <c r="N70" s="114"/>
      <c r="O70" s="114"/>
      <c r="P70" s="114"/>
    </row>
    <row r="71" spans="2:16" x14ac:dyDescent="0.25">
      <c r="J71" s="204"/>
      <c r="K71" s="204"/>
      <c r="L71" s="143" t="s">
        <v>208</v>
      </c>
      <c r="M71" s="144"/>
      <c r="N71" s="114"/>
      <c r="O71" s="114"/>
      <c r="P71" s="114"/>
    </row>
    <row r="72" spans="2:16" x14ac:dyDescent="0.25">
      <c r="J72" s="204"/>
      <c r="K72" s="204"/>
      <c r="L72" s="143" t="s">
        <v>210</v>
      </c>
      <c r="M72" s="144"/>
      <c r="N72" s="114"/>
      <c r="O72" s="114"/>
      <c r="P72" s="114"/>
    </row>
    <row r="73" spans="2:16" x14ac:dyDescent="0.25">
      <c r="J73" s="204"/>
      <c r="K73" s="204"/>
      <c r="L73" s="143" t="s">
        <v>213</v>
      </c>
      <c r="M73" s="144"/>
      <c r="N73" s="114"/>
      <c r="O73" s="114"/>
      <c r="P73" s="114"/>
    </row>
    <row r="74" spans="2:16" x14ac:dyDescent="0.25">
      <c r="J74" s="204"/>
      <c r="K74" s="204"/>
      <c r="L74" s="143" t="s">
        <v>216</v>
      </c>
      <c r="M74" s="144"/>
      <c r="N74" s="114"/>
      <c r="O74" s="114"/>
      <c r="P74" s="114"/>
    </row>
    <row r="75" spans="2:16" x14ac:dyDescent="0.25">
      <c r="J75" s="204"/>
      <c r="K75" s="204"/>
      <c r="L75" s="143" t="s">
        <v>217</v>
      </c>
      <c r="M75" s="144"/>
      <c r="N75" s="114"/>
      <c r="O75" s="114"/>
      <c r="P75" s="114"/>
    </row>
    <row r="76" spans="2:16" x14ac:dyDescent="0.25">
      <c r="J76" s="204"/>
      <c r="K76" s="204"/>
      <c r="L76" s="143" t="s">
        <v>218</v>
      </c>
      <c r="M76" s="144">
        <v>4</v>
      </c>
      <c r="N76" s="114"/>
      <c r="O76" s="114"/>
      <c r="P76" s="114"/>
    </row>
    <row r="77" spans="2:16" x14ac:dyDescent="0.25">
      <c r="J77" s="204"/>
      <c r="K77" s="204"/>
      <c r="L77" s="143" t="s">
        <v>219</v>
      </c>
      <c r="M77" s="144"/>
      <c r="N77" s="114"/>
      <c r="O77" s="114"/>
      <c r="P77" s="114"/>
    </row>
    <row r="78" spans="2:16" x14ac:dyDescent="0.25">
      <c r="J78" s="204"/>
      <c r="K78" s="204"/>
      <c r="L78" s="143" t="s">
        <v>220</v>
      </c>
      <c r="M78" s="144"/>
      <c r="N78" s="114"/>
      <c r="O78" s="114"/>
      <c r="P78" s="114"/>
    </row>
    <row r="79" spans="2:16" x14ac:dyDescent="0.25">
      <c r="J79" s="204" t="s">
        <v>278</v>
      </c>
      <c r="K79" s="204"/>
      <c r="L79" s="143" t="s">
        <v>279</v>
      </c>
      <c r="M79" s="165"/>
      <c r="N79" s="114"/>
      <c r="O79" s="114"/>
      <c r="P79" s="114"/>
    </row>
    <row r="80" spans="2:16" x14ac:dyDescent="0.25">
      <c r="J80" s="204"/>
      <c r="K80" s="204"/>
      <c r="L80" s="143" t="s">
        <v>282</v>
      </c>
      <c r="M80" s="144"/>
      <c r="N80" s="114"/>
      <c r="O80" s="114"/>
      <c r="P80" s="114"/>
    </row>
    <row r="81" spans="10:16" x14ac:dyDescent="0.25">
      <c r="J81" s="204"/>
      <c r="K81" s="204"/>
      <c r="L81" s="143" t="s">
        <v>285</v>
      </c>
      <c r="M81" s="144"/>
      <c r="N81" s="114"/>
      <c r="O81" s="114"/>
      <c r="P81" s="114"/>
    </row>
    <row r="82" spans="10:16" x14ac:dyDescent="0.25">
      <c r="J82" s="204"/>
      <c r="K82" s="204"/>
      <c r="L82" s="143" t="s">
        <v>288</v>
      </c>
      <c r="M82" s="144"/>
      <c r="N82" s="114"/>
      <c r="O82" s="114"/>
      <c r="P82" s="114"/>
    </row>
    <row r="83" spans="10:16" x14ac:dyDescent="0.25">
      <c r="J83" s="204"/>
      <c r="K83" s="204"/>
      <c r="L83" s="143" t="s">
        <v>290</v>
      </c>
      <c r="M83" s="144">
        <v>1</v>
      </c>
      <c r="N83" s="114"/>
      <c r="O83" s="114"/>
      <c r="P83" s="114"/>
    </row>
    <row r="84" spans="10:16" x14ac:dyDescent="0.25">
      <c r="J84" s="204"/>
      <c r="K84" s="204"/>
      <c r="L84" s="143" t="s">
        <v>293</v>
      </c>
      <c r="M84" s="144">
        <v>2</v>
      </c>
      <c r="N84" s="114"/>
      <c r="O84" s="114"/>
      <c r="P84" s="114"/>
    </row>
    <row r="85" spans="10:16" x14ac:dyDescent="0.25">
      <c r="J85" s="204"/>
      <c r="K85" s="204"/>
      <c r="L85" s="143" t="s">
        <v>296</v>
      </c>
      <c r="M85" s="144"/>
      <c r="N85" s="114"/>
      <c r="O85" s="114"/>
      <c r="P85" s="114"/>
    </row>
    <row r="86" spans="10:16" x14ac:dyDescent="0.25">
      <c r="J86" s="204"/>
      <c r="K86" s="204"/>
      <c r="L86" s="143" t="s">
        <v>297</v>
      </c>
      <c r="M86" s="144"/>
      <c r="N86" s="114"/>
      <c r="O86" s="114"/>
      <c r="P86" s="114"/>
    </row>
    <row r="87" spans="10:16" x14ac:dyDescent="0.25">
      <c r="J87" s="204"/>
      <c r="K87" s="204"/>
      <c r="L87" s="143" t="s">
        <v>298</v>
      </c>
      <c r="M87" s="144"/>
      <c r="N87" s="114"/>
      <c r="O87" s="114"/>
      <c r="P87" s="114"/>
    </row>
    <row r="88" spans="10:16" x14ac:dyDescent="0.25">
      <c r="J88" s="204"/>
      <c r="K88" s="204"/>
      <c r="L88" s="143" t="s">
        <v>300</v>
      </c>
      <c r="M88" s="144"/>
      <c r="N88" s="114"/>
      <c r="O88" s="114"/>
      <c r="P88" s="114"/>
    </row>
    <row r="89" spans="10:16" x14ac:dyDescent="0.25">
      <c r="J89" s="204"/>
      <c r="K89" s="204"/>
      <c r="L89" s="143" t="s">
        <v>246</v>
      </c>
      <c r="M89" s="144"/>
      <c r="N89" s="114"/>
      <c r="O89" s="114"/>
      <c r="P89" s="114"/>
    </row>
    <row r="90" spans="10:16" x14ac:dyDescent="0.25">
      <c r="J90" s="204"/>
      <c r="K90" s="204"/>
      <c r="L90" s="143" t="s">
        <v>249</v>
      </c>
      <c r="M90" s="144"/>
      <c r="N90" s="114"/>
      <c r="O90" s="114"/>
      <c r="P90" s="114"/>
    </row>
    <row r="91" spans="10:16" x14ac:dyDescent="0.25">
      <c r="J91" s="204"/>
      <c r="K91" s="204"/>
      <c r="L91" s="143" t="s">
        <v>252</v>
      </c>
      <c r="M91" s="144"/>
      <c r="N91" s="114"/>
      <c r="O91" s="114"/>
      <c r="P91" s="114"/>
    </row>
    <row r="92" spans="10:16" x14ac:dyDescent="0.25">
      <c r="J92" s="204"/>
      <c r="K92" s="204"/>
      <c r="L92" s="143" t="s">
        <v>254</v>
      </c>
      <c r="M92" s="144"/>
      <c r="N92" s="114"/>
      <c r="O92" s="114"/>
      <c r="P92" s="114"/>
    </row>
    <row r="93" spans="10:16" x14ac:dyDescent="0.25">
      <c r="J93" s="204"/>
      <c r="K93" s="204"/>
      <c r="L93" s="143" t="s">
        <v>301</v>
      </c>
      <c r="M93" s="144"/>
      <c r="N93" s="114"/>
      <c r="O93" s="114"/>
      <c r="P93" s="114"/>
    </row>
    <row r="94" spans="10:16" x14ac:dyDescent="0.25">
      <c r="J94" s="204"/>
      <c r="K94" s="204"/>
      <c r="L94" s="143" t="s">
        <v>258</v>
      </c>
      <c r="M94" s="144"/>
      <c r="N94" s="114"/>
      <c r="O94" s="114"/>
      <c r="P94" s="114"/>
    </row>
    <row r="95" spans="10:16" x14ac:dyDescent="0.25">
      <c r="J95" s="204"/>
      <c r="K95" s="204"/>
      <c r="L95" s="143" t="s">
        <v>259</v>
      </c>
      <c r="M95" s="144"/>
      <c r="N95" s="114"/>
      <c r="O95" s="114"/>
      <c r="P95" s="114"/>
    </row>
    <row r="96" spans="10:16" x14ac:dyDescent="0.25">
      <c r="J96" s="204"/>
      <c r="K96" s="204"/>
      <c r="L96" s="143" t="s">
        <v>260</v>
      </c>
      <c r="M96" s="144"/>
      <c r="N96" s="114"/>
      <c r="O96" s="114"/>
      <c r="P96" s="114"/>
    </row>
    <row r="97" spans="10:16" x14ac:dyDescent="0.25">
      <c r="J97" s="204"/>
      <c r="K97" s="204"/>
      <c r="L97" s="143" t="s">
        <v>303</v>
      </c>
      <c r="M97" s="144"/>
      <c r="N97" s="114"/>
      <c r="O97" s="114"/>
      <c r="P97" s="114"/>
    </row>
    <row r="98" spans="10:16" x14ac:dyDescent="0.25">
      <c r="J98" s="204"/>
      <c r="K98" s="204"/>
      <c r="L98" s="143" t="s">
        <v>304</v>
      </c>
      <c r="M98" s="144"/>
      <c r="N98" s="114"/>
      <c r="O98" s="114"/>
      <c r="P98" s="114"/>
    </row>
    <row r="99" spans="10:16" x14ac:dyDescent="0.25">
      <c r="J99" s="204"/>
      <c r="K99" s="204"/>
      <c r="L99" s="143" t="s">
        <v>305</v>
      </c>
      <c r="M99" s="144"/>
      <c r="N99" s="114"/>
      <c r="O99" s="114"/>
      <c r="P99" s="114"/>
    </row>
    <row r="100" spans="10:16" x14ac:dyDescent="0.25">
      <c r="J100" s="204"/>
      <c r="K100" s="204"/>
      <c r="L100" s="143" t="s">
        <v>306</v>
      </c>
      <c r="M100" s="144"/>
      <c r="N100" s="114"/>
      <c r="O100" s="114"/>
      <c r="P100" s="114"/>
    </row>
    <row r="101" spans="10:16" x14ac:dyDescent="0.25">
      <c r="J101" s="204"/>
      <c r="K101" s="204"/>
      <c r="L101" s="143" t="s">
        <v>307</v>
      </c>
      <c r="M101" s="144"/>
      <c r="N101" s="114"/>
      <c r="O101" s="114"/>
      <c r="P101" s="114"/>
    </row>
    <row r="102" spans="10:16" x14ac:dyDescent="0.25">
      <c r="J102" s="204"/>
      <c r="K102" s="204"/>
      <c r="L102" s="143" t="s">
        <v>308</v>
      </c>
      <c r="M102" s="144"/>
      <c r="N102" s="114"/>
      <c r="O102" s="114"/>
      <c r="P102" s="114"/>
    </row>
    <row r="103" spans="10:16" x14ac:dyDescent="0.25">
      <c r="J103" s="204"/>
      <c r="K103" s="204"/>
      <c r="L103" s="143" t="s">
        <v>309</v>
      </c>
      <c r="M103" s="144"/>
      <c r="N103" s="114"/>
      <c r="O103" s="114"/>
      <c r="P103" s="114"/>
    </row>
    <row r="104" spans="10:16" x14ac:dyDescent="0.25">
      <c r="J104" s="204"/>
      <c r="K104" s="204"/>
      <c r="L104" s="143" t="s">
        <v>310</v>
      </c>
      <c r="M104" s="144"/>
      <c r="N104" s="114"/>
      <c r="O104" s="114"/>
      <c r="P104" s="114"/>
    </row>
    <row r="105" spans="10:16" x14ac:dyDescent="0.25">
      <c r="J105" s="204"/>
      <c r="K105" s="204"/>
      <c r="L105" s="143" t="s">
        <v>311</v>
      </c>
      <c r="M105" s="144"/>
      <c r="N105" s="114"/>
      <c r="O105" s="114"/>
      <c r="P105" s="114"/>
    </row>
    <row r="106" spans="10:16" x14ac:dyDescent="0.25">
      <c r="J106" s="204"/>
      <c r="K106" s="204"/>
      <c r="L106" s="143" t="s">
        <v>312</v>
      </c>
      <c r="M106" s="144"/>
      <c r="N106" s="114"/>
      <c r="O106" s="114"/>
      <c r="P106" s="114"/>
    </row>
    <row r="107" spans="10:16" x14ac:dyDescent="0.25">
      <c r="J107" s="204"/>
      <c r="K107" s="204"/>
      <c r="L107" s="143" t="s">
        <v>313</v>
      </c>
      <c r="M107" s="144"/>
      <c r="N107" s="114"/>
      <c r="O107" s="114"/>
      <c r="P107" s="114"/>
    </row>
    <row r="108" spans="10:16" x14ac:dyDescent="0.25">
      <c r="J108" s="204"/>
      <c r="K108" s="204"/>
      <c r="L108" s="143" t="s">
        <v>314</v>
      </c>
      <c r="M108" s="144"/>
      <c r="N108" s="114"/>
      <c r="O108" s="114"/>
      <c r="P108" s="114"/>
    </row>
    <row r="109" spans="10:16" x14ac:dyDescent="0.25">
      <c r="J109" s="204"/>
      <c r="K109" s="204"/>
      <c r="L109" s="143" t="s">
        <v>315</v>
      </c>
      <c r="M109" s="144"/>
      <c r="N109" s="114"/>
      <c r="O109" s="114"/>
      <c r="P109" s="114"/>
    </row>
    <row r="110" spans="10:16" x14ac:dyDescent="0.25">
      <c r="J110" s="204"/>
      <c r="K110" s="204"/>
      <c r="L110" s="143" t="s">
        <v>316</v>
      </c>
      <c r="M110" s="144"/>
      <c r="N110" s="114"/>
      <c r="O110" s="114"/>
      <c r="P110" s="114"/>
    </row>
    <row r="111" spans="10:16" x14ac:dyDescent="0.25">
      <c r="J111" s="204"/>
      <c r="K111" s="204"/>
      <c r="L111" s="143" t="s">
        <v>317</v>
      </c>
      <c r="M111" s="144"/>
      <c r="N111" s="114"/>
      <c r="O111" s="114"/>
      <c r="P111" s="114"/>
    </row>
    <row r="112" spans="10:16" x14ac:dyDescent="0.25">
      <c r="J112" s="204"/>
      <c r="K112" s="204"/>
      <c r="L112" s="143" t="s">
        <v>318</v>
      </c>
      <c r="M112" s="144"/>
      <c r="N112" s="114"/>
      <c r="O112" s="114"/>
      <c r="P112" s="114"/>
    </row>
    <row r="113" spans="10:16" x14ac:dyDescent="0.25">
      <c r="J113" s="204" t="s">
        <v>319</v>
      </c>
      <c r="K113" s="204"/>
      <c r="L113" s="143" t="s">
        <v>205</v>
      </c>
      <c r="M113" s="144"/>
      <c r="N113" s="114"/>
      <c r="O113" s="114"/>
      <c r="P113" s="114"/>
    </row>
    <row r="114" spans="10:16" x14ac:dyDescent="0.25">
      <c r="J114" s="204"/>
      <c r="K114" s="204"/>
      <c r="L114" s="143" t="s">
        <v>208</v>
      </c>
      <c r="M114" s="144"/>
      <c r="N114" s="114"/>
      <c r="O114" s="114"/>
      <c r="P114" s="114"/>
    </row>
    <row r="115" spans="10:16" x14ac:dyDescent="0.25">
      <c r="J115" s="204"/>
      <c r="K115" s="204"/>
      <c r="L115" s="143" t="s">
        <v>210</v>
      </c>
      <c r="M115" s="144"/>
      <c r="N115" s="114"/>
      <c r="O115" s="114"/>
      <c r="P115" s="114"/>
    </row>
    <row r="116" spans="10:16" x14ac:dyDescent="0.25">
      <c r="J116" s="204"/>
      <c r="K116" s="204"/>
      <c r="L116" s="143" t="s">
        <v>213</v>
      </c>
      <c r="M116" s="144"/>
      <c r="N116" s="114"/>
      <c r="O116" s="114"/>
      <c r="P116" s="114"/>
    </row>
    <row r="117" spans="10:16" x14ac:dyDescent="0.25">
      <c r="J117" s="204"/>
      <c r="K117" s="204"/>
      <c r="L117" s="143" t="s">
        <v>216</v>
      </c>
      <c r="M117" s="144"/>
      <c r="N117" s="114"/>
      <c r="O117" s="114"/>
      <c r="P117" s="114"/>
    </row>
    <row r="118" spans="10:16" x14ac:dyDescent="0.25">
      <c r="J118" s="204"/>
      <c r="K118" s="204"/>
      <c r="L118" s="143" t="s">
        <v>217</v>
      </c>
      <c r="M118" s="144"/>
      <c r="N118" s="114"/>
      <c r="O118" s="114"/>
      <c r="P118" s="114"/>
    </row>
    <row r="119" spans="10:16" x14ac:dyDescent="0.25">
      <c r="J119" s="204"/>
      <c r="K119" s="204"/>
      <c r="L119" s="143" t="s">
        <v>218</v>
      </c>
      <c r="M119" s="144"/>
      <c r="N119" s="114"/>
      <c r="O119" s="114"/>
      <c r="P119" s="114"/>
    </row>
    <row r="120" spans="10:16" x14ac:dyDescent="0.25">
      <c r="J120" s="204" t="s">
        <v>323</v>
      </c>
      <c r="K120" s="204" t="s">
        <v>205</v>
      </c>
      <c r="L120" s="143" t="s">
        <v>324</v>
      </c>
      <c r="M120" s="144"/>
      <c r="N120" s="114"/>
      <c r="O120" s="114"/>
      <c r="P120" s="114"/>
    </row>
    <row r="121" spans="10:16" x14ac:dyDescent="0.25">
      <c r="J121" s="204"/>
      <c r="K121" s="204"/>
      <c r="L121" s="143" t="s">
        <v>325</v>
      </c>
      <c r="M121" s="144"/>
      <c r="N121" s="114"/>
      <c r="O121" s="114"/>
      <c r="P121" s="114"/>
    </row>
    <row r="122" spans="10:16" x14ac:dyDescent="0.25">
      <c r="J122" s="204"/>
      <c r="K122" s="204" t="s">
        <v>208</v>
      </c>
      <c r="L122" s="143" t="s">
        <v>324</v>
      </c>
      <c r="M122" s="144"/>
      <c r="N122" s="114"/>
      <c r="O122" s="114"/>
      <c r="P122" s="114"/>
    </row>
    <row r="123" spans="10:16" x14ac:dyDescent="0.25">
      <c r="J123" s="204"/>
      <c r="K123" s="204"/>
      <c r="L123" s="143" t="s">
        <v>325</v>
      </c>
      <c r="M123" s="144"/>
      <c r="N123" s="114"/>
      <c r="O123" s="114"/>
      <c r="P123" s="114"/>
    </row>
    <row r="124" spans="10:16" x14ac:dyDescent="0.25">
      <c r="J124" s="204"/>
      <c r="K124" s="204" t="s">
        <v>210</v>
      </c>
      <c r="L124" s="143" t="s">
        <v>324</v>
      </c>
      <c r="M124" s="144"/>
      <c r="N124" s="114"/>
      <c r="O124" s="114"/>
      <c r="P124" s="114"/>
    </row>
    <row r="125" spans="10:16" x14ac:dyDescent="0.25">
      <c r="J125" s="204"/>
      <c r="K125" s="204"/>
      <c r="L125" s="143" t="s">
        <v>325</v>
      </c>
      <c r="M125" s="144"/>
      <c r="N125" s="114"/>
      <c r="O125" s="114"/>
      <c r="P125" s="114"/>
    </row>
    <row r="126" spans="10:16" x14ac:dyDescent="0.25">
      <c r="J126" s="204"/>
      <c r="K126" s="204" t="s">
        <v>213</v>
      </c>
      <c r="L126" s="143" t="s">
        <v>324</v>
      </c>
      <c r="M126" s="144"/>
      <c r="N126" s="114"/>
      <c r="O126" s="114"/>
      <c r="P126" s="114"/>
    </row>
    <row r="127" spans="10:16" x14ac:dyDescent="0.25">
      <c r="J127" s="204"/>
      <c r="K127" s="204"/>
      <c r="L127" s="143" t="s">
        <v>325</v>
      </c>
      <c r="M127" s="144"/>
      <c r="N127" s="114"/>
      <c r="O127" s="114"/>
      <c r="P127" s="114"/>
    </row>
    <row r="128" spans="10:16" x14ac:dyDescent="0.25">
      <c r="J128" s="204"/>
      <c r="K128" s="204" t="s">
        <v>216</v>
      </c>
      <c r="L128" s="143" t="s">
        <v>324</v>
      </c>
      <c r="M128" s="144"/>
      <c r="N128" s="114"/>
      <c r="O128" s="114"/>
      <c r="P128" s="114"/>
    </row>
    <row r="129" spans="10:16" x14ac:dyDescent="0.25">
      <c r="J129" s="204"/>
      <c r="K129" s="204"/>
      <c r="L129" s="143" t="s">
        <v>325</v>
      </c>
      <c r="M129" s="144"/>
      <c r="N129" s="114"/>
      <c r="O129" s="114"/>
      <c r="P129" s="114"/>
    </row>
    <row r="130" spans="10:16" x14ac:dyDescent="0.25">
      <c r="J130" s="204"/>
      <c r="K130" s="204" t="s">
        <v>217</v>
      </c>
      <c r="L130" s="143" t="s">
        <v>324</v>
      </c>
      <c r="M130" s="144"/>
      <c r="N130" s="114"/>
      <c r="O130" s="114"/>
      <c r="P130" s="114"/>
    </row>
    <row r="131" spans="10:16" x14ac:dyDescent="0.25">
      <c r="J131" s="204"/>
      <c r="K131" s="204"/>
      <c r="L131" s="143" t="s">
        <v>325</v>
      </c>
      <c r="M131" s="144"/>
      <c r="N131" s="114"/>
      <c r="O131" s="114"/>
      <c r="P131" s="114"/>
    </row>
    <row r="132" spans="10:16" x14ac:dyDescent="0.25">
      <c r="J132" s="204"/>
      <c r="K132" s="204" t="s">
        <v>218</v>
      </c>
      <c r="L132" s="143" t="s">
        <v>324</v>
      </c>
      <c r="M132" s="144"/>
      <c r="N132" s="114"/>
      <c r="O132" s="114"/>
      <c r="P132" s="114"/>
    </row>
    <row r="133" spans="10:16" x14ac:dyDescent="0.25">
      <c r="J133" s="204"/>
      <c r="K133" s="204"/>
      <c r="L133" s="143" t="s">
        <v>325</v>
      </c>
      <c r="M133" s="144"/>
      <c r="N133" s="114"/>
      <c r="O133" s="114"/>
      <c r="P133" s="114"/>
    </row>
    <row r="134" spans="10:16" x14ac:dyDescent="0.25">
      <c r="J134" s="204"/>
      <c r="K134" s="204" t="s">
        <v>219</v>
      </c>
      <c r="L134" s="143" t="s">
        <v>324</v>
      </c>
      <c r="M134" s="144"/>
      <c r="N134" s="114"/>
      <c r="O134" s="114"/>
      <c r="P134" s="114"/>
    </row>
    <row r="135" spans="10:16" x14ac:dyDescent="0.25">
      <c r="J135" s="204"/>
      <c r="K135" s="204"/>
      <c r="L135" s="143" t="s">
        <v>325</v>
      </c>
      <c r="M135" s="144"/>
      <c r="N135" s="114"/>
      <c r="O135" s="114"/>
      <c r="P135" s="114"/>
    </row>
    <row r="136" spans="10:16" x14ac:dyDescent="0.25">
      <c r="J136" s="204"/>
      <c r="K136" s="204" t="s">
        <v>220</v>
      </c>
      <c r="L136" s="143" t="s">
        <v>324</v>
      </c>
      <c r="M136" s="144"/>
      <c r="N136" s="114"/>
      <c r="O136" s="114"/>
      <c r="P136" s="114"/>
    </row>
    <row r="137" spans="10:16" x14ac:dyDescent="0.25">
      <c r="J137" s="204"/>
      <c r="K137" s="204"/>
      <c r="L137" s="143" t="s">
        <v>325</v>
      </c>
      <c r="M137" s="144"/>
      <c r="N137" s="114"/>
      <c r="O137" s="114"/>
      <c r="P137" s="114"/>
    </row>
    <row r="138" spans="10:16" x14ac:dyDescent="0.25">
      <c r="J138" s="204" t="s">
        <v>328</v>
      </c>
      <c r="K138" s="204"/>
      <c r="L138" s="143" t="s">
        <v>329</v>
      </c>
      <c r="M138" s="144"/>
      <c r="N138" s="114"/>
      <c r="O138" s="114"/>
      <c r="P138" s="114"/>
    </row>
    <row r="139" spans="10:16" x14ac:dyDescent="0.25">
      <c r="J139" s="204"/>
      <c r="K139" s="204"/>
      <c r="L139" s="143" t="s">
        <v>205</v>
      </c>
      <c r="M139" s="144"/>
      <c r="N139" s="114"/>
      <c r="O139" s="114"/>
      <c r="P139" s="114"/>
    </row>
    <row r="140" spans="10:16" x14ac:dyDescent="0.25">
      <c r="J140" s="204"/>
      <c r="K140" s="204"/>
      <c r="L140" s="143" t="s">
        <v>208</v>
      </c>
      <c r="M140" s="144"/>
      <c r="N140" s="114"/>
      <c r="O140" s="114"/>
      <c r="P140" s="114"/>
    </row>
    <row r="141" spans="10:16" x14ac:dyDescent="0.25">
      <c r="J141" s="204"/>
      <c r="K141" s="204"/>
      <c r="L141" s="143" t="s">
        <v>210</v>
      </c>
      <c r="M141" s="144"/>
      <c r="N141" s="114"/>
      <c r="O141" s="114"/>
      <c r="P141" s="114"/>
    </row>
    <row r="142" spans="10:16" x14ac:dyDescent="0.25">
      <c r="J142" s="204"/>
      <c r="K142" s="204"/>
      <c r="L142" s="143" t="s">
        <v>213</v>
      </c>
      <c r="M142" s="144"/>
      <c r="N142" s="114"/>
      <c r="O142" s="114"/>
      <c r="P142" s="114"/>
    </row>
    <row r="143" spans="10:16" x14ac:dyDescent="0.25">
      <c r="J143" s="204"/>
      <c r="K143" s="204"/>
      <c r="L143" s="143" t="s">
        <v>216</v>
      </c>
      <c r="M143" s="144"/>
      <c r="N143" s="114"/>
      <c r="O143" s="114"/>
      <c r="P143" s="114"/>
    </row>
    <row r="144" spans="10:16" x14ac:dyDescent="0.25">
      <c r="J144" s="204"/>
      <c r="K144" s="204"/>
      <c r="L144" s="143" t="s">
        <v>217</v>
      </c>
      <c r="M144" s="144"/>
      <c r="N144" s="114"/>
      <c r="O144" s="114"/>
      <c r="P144" s="114"/>
    </row>
    <row r="145" spans="10:16" x14ac:dyDescent="0.25">
      <c r="J145" s="204"/>
      <c r="K145" s="204"/>
      <c r="L145" s="143" t="s">
        <v>218</v>
      </c>
      <c r="M145" s="144"/>
      <c r="N145" s="114"/>
      <c r="O145" s="114"/>
      <c r="P145" s="114"/>
    </row>
    <row r="146" spans="10:16" x14ac:dyDescent="0.25">
      <c r="J146" s="204"/>
      <c r="K146" s="204"/>
      <c r="L146" s="143" t="s">
        <v>219</v>
      </c>
      <c r="M146" s="144"/>
      <c r="N146" s="114"/>
      <c r="O146" s="114"/>
      <c r="P146" s="114"/>
    </row>
    <row r="147" spans="10:16" x14ac:dyDescent="0.25">
      <c r="J147" s="204" t="s">
        <v>330</v>
      </c>
      <c r="K147" s="204"/>
      <c r="L147" s="143" t="s">
        <v>329</v>
      </c>
      <c r="M147" s="144"/>
      <c r="N147" s="114"/>
      <c r="O147" s="114"/>
      <c r="P147" s="114"/>
    </row>
    <row r="148" spans="10:16" x14ac:dyDescent="0.25">
      <c r="J148" s="204"/>
      <c r="K148" s="204"/>
      <c r="L148" s="143" t="s">
        <v>205</v>
      </c>
      <c r="M148" s="144"/>
      <c r="N148" s="114"/>
      <c r="O148" s="114"/>
      <c r="P148" s="114"/>
    </row>
    <row r="149" spans="10:16" x14ac:dyDescent="0.25">
      <c r="J149" s="204"/>
      <c r="K149" s="204"/>
      <c r="L149" s="143" t="s">
        <v>208</v>
      </c>
      <c r="M149" s="144"/>
      <c r="N149" s="114"/>
      <c r="O149" s="114"/>
      <c r="P149" s="114"/>
    </row>
    <row r="150" spans="10:16" x14ac:dyDescent="0.25">
      <c r="J150" s="204"/>
      <c r="K150" s="204"/>
      <c r="L150" s="143" t="s">
        <v>210</v>
      </c>
      <c r="M150" s="144"/>
      <c r="N150" s="114"/>
      <c r="O150" s="114"/>
      <c r="P150" s="114"/>
    </row>
    <row r="151" spans="10:16" x14ac:dyDescent="0.25">
      <c r="J151" s="204"/>
      <c r="K151" s="204"/>
      <c r="L151" s="143" t="s">
        <v>213</v>
      </c>
      <c r="M151" s="144"/>
      <c r="N151" s="114"/>
      <c r="O151" s="114"/>
      <c r="P151" s="114"/>
    </row>
    <row r="152" spans="10:16" x14ac:dyDescent="0.25">
      <c r="J152" s="204"/>
      <c r="K152" s="204"/>
      <c r="L152" s="143" t="s">
        <v>216</v>
      </c>
      <c r="M152" s="144"/>
      <c r="N152" s="114"/>
      <c r="O152" s="114"/>
      <c r="P152" s="114"/>
    </row>
    <row r="153" spans="10:16" x14ac:dyDescent="0.25">
      <c r="J153" s="204"/>
      <c r="K153" s="204"/>
      <c r="L153" s="143" t="s">
        <v>217</v>
      </c>
      <c r="M153" s="144"/>
      <c r="N153" s="114"/>
      <c r="O153" s="114"/>
      <c r="P153" s="114"/>
    </row>
    <row r="154" spans="10:16" x14ac:dyDescent="0.25">
      <c r="J154" s="204"/>
      <c r="K154" s="204"/>
      <c r="L154" s="143" t="s">
        <v>218</v>
      </c>
      <c r="M154" s="144"/>
      <c r="N154" s="114"/>
      <c r="O154" s="114"/>
      <c r="P154" s="114"/>
    </row>
    <row r="155" spans="10:16" x14ac:dyDescent="0.25">
      <c r="J155" s="204"/>
      <c r="K155" s="204"/>
      <c r="L155" s="143" t="s">
        <v>219</v>
      </c>
      <c r="M155" s="144"/>
      <c r="N155" s="114"/>
      <c r="O155" s="114"/>
      <c r="P155" s="114"/>
    </row>
    <row r="156" spans="10:16" x14ac:dyDescent="0.25">
      <c r="J156" s="207" t="s">
        <v>331</v>
      </c>
      <c r="K156" s="207"/>
      <c r="L156" s="150" t="s">
        <v>205</v>
      </c>
      <c r="M156" s="144"/>
      <c r="N156" s="114"/>
      <c r="O156" s="114"/>
      <c r="P156" s="114"/>
    </row>
    <row r="157" spans="10:16" x14ac:dyDescent="0.25">
      <c r="J157" s="207"/>
      <c r="K157" s="207"/>
      <c r="L157" s="150" t="s">
        <v>208</v>
      </c>
      <c r="M157" s="144"/>
      <c r="N157" s="114"/>
      <c r="O157" s="114"/>
      <c r="P157" s="114"/>
    </row>
    <row r="158" spans="10:16" x14ac:dyDescent="0.25">
      <c r="J158" s="207"/>
      <c r="K158" s="207"/>
      <c r="L158" s="150" t="s">
        <v>210</v>
      </c>
      <c r="M158" s="144"/>
      <c r="N158" s="114"/>
      <c r="O158" s="114"/>
      <c r="P158" s="114"/>
    </row>
    <row r="159" spans="10:16" x14ac:dyDescent="0.25">
      <c r="J159" s="207"/>
      <c r="K159" s="207"/>
      <c r="L159" s="150" t="s">
        <v>213</v>
      </c>
      <c r="M159" s="144"/>
      <c r="N159" s="114"/>
      <c r="O159" s="114"/>
      <c r="P159" s="114"/>
    </row>
    <row r="160" spans="10:16" x14ac:dyDescent="0.25">
      <c r="J160" s="207"/>
      <c r="K160" s="207"/>
      <c r="L160" s="150" t="s">
        <v>216</v>
      </c>
      <c r="M160" s="144"/>
      <c r="N160" s="114"/>
      <c r="O160" s="114"/>
      <c r="P160" s="114"/>
    </row>
    <row r="161" spans="10:16" x14ac:dyDescent="0.25">
      <c r="J161" s="207"/>
      <c r="K161" s="207"/>
      <c r="L161" s="150" t="s">
        <v>217</v>
      </c>
      <c r="M161" s="144"/>
      <c r="N161" s="114"/>
      <c r="O161" s="114"/>
      <c r="P161" s="114"/>
    </row>
    <row r="162" spans="10:16" x14ac:dyDescent="0.25">
      <c r="J162" s="207"/>
      <c r="K162" s="207"/>
      <c r="L162" s="150" t="s">
        <v>218</v>
      </c>
      <c r="M162" s="144"/>
      <c r="N162" s="114"/>
      <c r="O162" s="114"/>
      <c r="P162" s="114"/>
    </row>
    <row r="163" spans="10:16" x14ac:dyDescent="0.25">
      <c r="J163" s="207"/>
      <c r="K163" s="207"/>
      <c r="L163" s="150" t="s">
        <v>219</v>
      </c>
      <c r="M163" s="144"/>
      <c r="N163" s="114"/>
      <c r="O163" s="114"/>
      <c r="P163" s="114"/>
    </row>
    <row r="164" spans="10:16" x14ac:dyDescent="0.25">
      <c r="J164" s="207"/>
      <c r="K164" s="207"/>
      <c r="L164" s="150" t="s">
        <v>220</v>
      </c>
      <c r="M164" s="144"/>
      <c r="N164" s="114"/>
      <c r="O164" s="114"/>
      <c r="P164" s="114"/>
    </row>
    <row r="165" spans="10:16" x14ac:dyDescent="0.25">
      <c r="J165" s="207" t="s">
        <v>332</v>
      </c>
      <c r="K165" s="207"/>
      <c r="L165" s="150" t="s">
        <v>205</v>
      </c>
      <c r="M165" s="144"/>
      <c r="N165" s="114"/>
      <c r="O165" s="114"/>
      <c r="P165" s="114"/>
    </row>
    <row r="166" spans="10:16" x14ac:dyDescent="0.25">
      <c r="J166" s="207"/>
      <c r="K166" s="207"/>
      <c r="L166" s="150" t="s">
        <v>208</v>
      </c>
      <c r="M166" s="144"/>
      <c r="N166" s="114"/>
      <c r="O166" s="114"/>
      <c r="P166" s="114"/>
    </row>
    <row r="167" spans="10:16" x14ac:dyDescent="0.25">
      <c r="J167" s="207"/>
      <c r="K167" s="207"/>
      <c r="L167" s="150" t="s">
        <v>210</v>
      </c>
      <c r="M167" s="144"/>
      <c r="N167" s="114"/>
      <c r="O167" s="114"/>
      <c r="P167" s="114"/>
    </row>
    <row r="168" spans="10:16" x14ac:dyDescent="0.25">
      <c r="J168" s="207"/>
      <c r="K168" s="207"/>
      <c r="L168" s="150" t="s">
        <v>213</v>
      </c>
      <c r="M168" s="144"/>
      <c r="N168" s="114"/>
      <c r="O168" s="114"/>
      <c r="P168" s="114"/>
    </row>
    <row r="169" spans="10:16" x14ac:dyDescent="0.25">
      <c r="J169" s="207"/>
      <c r="K169" s="207"/>
      <c r="L169" s="150" t="s">
        <v>216</v>
      </c>
      <c r="M169" s="144"/>
      <c r="N169" s="114"/>
      <c r="O169" s="114"/>
      <c r="P169" s="114"/>
    </row>
    <row r="170" spans="10:16" x14ac:dyDescent="0.25">
      <c r="J170" s="207"/>
      <c r="K170" s="207"/>
      <c r="L170" s="150" t="s">
        <v>217</v>
      </c>
      <c r="M170" s="144"/>
      <c r="N170" s="114"/>
      <c r="O170" s="114"/>
      <c r="P170" s="114"/>
    </row>
    <row r="171" spans="10:16" x14ac:dyDescent="0.25">
      <c r="J171" s="207"/>
      <c r="K171" s="207"/>
      <c r="L171" s="150" t="s">
        <v>218</v>
      </c>
      <c r="M171" s="144"/>
      <c r="N171" s="114"/>
      <c r="O171" s="114"/>
      <c r="P171" s="114"/>
    </row>
    <row r="172" spans="10:16" x14ac:dyDescent="0.25">
      <c r="J172" s="207"/>
      <c r="K172" s="207"/>
      <c r="L172" s="150" t="s">
        <v>219</v>
      </c>
      <c r="M172" s="144"/>
      <c r="N172" s="114"/>
      <c r="O172" s="114"/>
      <c r="P172" s="114"/>
    </row>
    <row r="173" spans="10:16" x14ac:dyDescent="0.25">
      <c r="J173" s="207"/>
      <c r="K173" s="207"/>
      <c r="L173" s="150" t="s">
        <v>220</v>
      </c>
      <c r="M173" s="144"/>
      <c r="N173" s="114"/>
      <c r="O173" s="114"/>
      <c r="P173" s="114"/>
    </row>
    <row r="174" spans="10:16" x14ac:dyDescent="0.25">
      <c r="J174" s="207" t="s">
        <v>333</v>
      </c>
      <c r="K174" s="207"/>
      <c r="L174" s="150" t="s">
        <v>205</v>
      </c>
      <c r="M174" s="144"/>
      <c r="N174" s="114"/>
      <c r="O174" s="114"/>
      <c r="P174" s="114"/>
    </row>
    <row r="175" spans="10:16" x14ac:dyDescent="0.25">
      <c r="J175" s="207"/>
      <c r="K175" s="207"/>
      <c r="L175" s="150" t="s">
        <v>208</v>
      </c>
      <c r="M175" s="144"/>
      <c r="N175" s="114"/>
      <c r="O175" s="114"/>
      <c r="P175" s="114"/>
    </row>
    <row r="176" spans="10:16" x14ac:dyDescent="0.25">
      <c r="J176" s="207"/>
      <c r="K176" s="207"/>
      <c r="L176" s="150" t="s">
        <v>210</v>
      </c>
      <c r="M176" s="144"/>
      <c r="N176" s="114"/>
      <c r="O176" s="114"/>
      <c r="P176" s="114"/>
    </row>
    <row r="177" spans="10:16" x14ac:dyDescent="0.25">
      <c r="J177" s="207"/>
      <c r="K177" s="207"/>
      <c r="L177" s="150" t="s">
        <v>213</v>
      </c>
      <c r="M177" s="144"/>
      <c r="N177" s="114"/>
      <c r="O177" s="114"/>
      <c r="P177" s="114"/>
    </row>
    <row r="178" spans="10:16" x14ac:dyDescent="0.25">
      <c r="J178" s="207"/>
      <c r="K178" s="207"/>
      <c r="L178" s="150" t="s">
        <v>216</v>
      </c>
      <c r="M178" s="144"/>
      <c r="N178" s="114"/>
      <c r="O178" s="114"/>
      <c r="P178" s="114"/>
    </row>
    <row r="179" spans="10:16" x14ac:dyDescent="0.25">
      <c r="J179" s="207"/>
      <c r="K179" s="207"/>
      <c r="L179" s="150" t="s">
        <v>217</v>
      </c>
      <c r="M179" s="144"/>
      <c r="N179" s="114"/>
      <c r="O179" s="114"/>
      <c r="P179" s="114"/>
    </row>
    <row r="180" spans="10:16" x14ac:dyDescent="0.25">
      <c r="J180" s="207"/>
      <c r="K180" s="207"/>
      <c r="L180" s="150" t="s">
        <v>218</v>
      </c>
      <c r="M180" s="144"/>
      <c r="N180" s="114"/>
      <c r="O180" s="114"/>
      <c r="P180" s="114"/>
    </row>
    <row r="181" spans="10:16" x14ac:dyDescent="0.25">
      <c r="J181" s="207"/>
      <c r="K181" s="207"/>
      <c r="L181" s="150" t="s">
        <v>219</v>
      </c>
      <c r="M181" s="144"/>
      <c r="N181" s="114"/>
      <c r="O181" s="114"/>
      <c r="P181" s="114"/>
    </row>
    <row r="182" spans="10:16" ht="18.75" x14ac:dyDescent="0.25">
      <c r="J182" s="208" t="s">
        <v>334</v>
      </c>
      <c r="K182" s="209"/>
      <c r="L182" s="152"/>
      <c r="M182" s="144"/>
      <c r="N182" s="114"/>
      <c r="O182" s="114"/>
      <c r="P182" s="114"/>
    </row>
    <row r="183" spans="10:16" x14ac:dyDescent="0.25">
      <c r="J183" s="204" t="s">
        <v>335</v>
      </c>
      <c r="K183" s="204" t="s">
        <v>219</v>
      </c>
      <c r="L183" s="143" t="s">
        <v>324</v>
      </c>
      <c r="M183" s="144"/>
      <c r="N183" s="114"/>
      <c r="O183" s="114"/>
      <c r="P183" s="114"/>
    </row>
    <row r="184" spans="10:16" x14ac:dyDescent="0.25">
      <c r="J184" s="204"/>
      <c r="K184" s="204"/>
      <c r="L184" s="143" t="s">
        <v>325</v>
      </c>
      <c r="M184" s="144"/>
      <c r="N184" s="114"/>
      <c r="O184" s="114"/>
      <c r="P184" s="114"/>
    </row>
    <row r="185" spans="10:16" x14ac:dyDescent="0.25">
      <c r="J185" s="204"/>
      <c r="K185" s="204"/>
      <c r="L185" s="143" t="s">
        <v>336</v>
      </c>
      <c r="M185" s="144"/>
      <c r="N185" s="114"/>
      <c r="O185" s="114"/>
      <c r="P185" s="114"/>
    </row>
    <row r="186" spans="10:16" x14ac:dyDescent="0.25">
      <c r="J186" s="204"/>
      <c r="K186" s="204" t="s">
        <v>220</v>
      </c>
      <c r="L186" s="143" t="s">
        <v>324</v>
      </c>
      <c r="M186" s="144"/>
      <c r="N186" s="114"/>
      <c r="O186" s="114"/>
      <c r="P186" s="114"/>
    </row>
    <row r="187" spans="10:16" x14ac:dyDescent="0.25">
      <c r="J187" s="204"/>
      <c r="K187" s="204"/>
      <c r="L187" s="143" t="s">
        <v>325</v>
      </c>
      <c r="M187" s="144"/>
      <c r="N187" s="114"/>
      <c r="O187" s="114"/>
      <c r="P187" s="114"/>
    </row>
    <row r="188" spans="10:16" x14ac:dyDescent="0.25">
      <c r="J188" s="204"/>
      <c r="K188" s="204"/>
      <c r="L188" s="143" t="s">
        <v>336</v>
      </c>
      <c r="M188" s="144"/>
      <c r="N188" s="114"/>
      <c r="O188" s="114"/>
      <c r="P188" s="114"/>
    </row>
    <row r="189" spans="10:16" x14ac:dyDescent="0.25">
      <c r="J189" s="205" t="s">
        <v>337</v>
      </c>
      <c r="K189" s="205"/>
      <c r="L189" s="154" t="s">
        <v>338</v>
      </c>
      <c r="M189" s="144"/>
      <c r="N189" s="114"/>
      <c r="O189" s="114"/>
      <c r="P189" s="114"/>
    </row>
    <row r="190" spans="10:16" x14ac:dyDescent="0.25">
      <c r="J190" s="205"/>
      <c r="K190" s="205"/>
      <c r="L190" s="154" t="s">
        <v>339</v>
      </c>
      <c r="M190" s="144"/>
      <c r="N190" s="114"/>
      <c r="O190" s="114"/>
      <c r="P190" s="114"/>
    </row>
    <row r="191" spans="10:16" x14ac:dyDescent="0.25">
      <c r="J191" s="205"/>
      <c r="K191" s="205"/>
      <c r="L191" s="154" t="s">
        <v>340</v>
      </c>
      <c r="M191" s="144"/>
      <c r="N191" s="114"/>
      <c r="O191" s="114"/>
      <c r="P191" s="114"/>
    </row>
    <row r="192" spans="10:16" x14ac:dyDescent="0.25">
      <c r="J192" s="205"/>
      <c r="K192" s="205"/>
      <c r="L192" s="154" t="s">
        <v>341</v>
      </c>
      <c r="M192" s="144"/>
      <c r="N192" s="114"/>
      <c r="O192" s="114"/>
      <c r="P192" s="114"/>
    </row>
    <row r="193" spans="10:16" x14ac:dyDescent="0.25">
      <c r="J193" s="205"/>
      <c r="K193" s="205"/>
      <c r="L193" s="154" t="s">
        <v>342</v>
      </c>
      <c r="M193" s="144"/>
      <c r="N193" s="114"/>
      <c r="O193" s="114"/>
      <c r="P193" s="114"/>
    </row>
    <row r="194" spans="10:16" x14ac:dyDescent="0.25">
      <c r="J194" s="205"/>
      <c r="K194" s="205"/>
      <c r="L194" s="154" t="s">
        <v>343</v>
      </c>
      <c r="M194" s="144"/>
      <c r="N194" s="114"/>
      <c r="O194" s="114"/>
      <c r="P194" s="114"/>
    </row>
    <row r="195" spans="10:16" x14ac:dyDescent="0.25">
      <c r="J195" s="206" t="s">
        <v>344</v>
      </c>
      <c r="K195" s="206"/>
      <c r="L195" s="155" t="s">
        <v>338</v>
      </c>
      <c r="M195" s="144"/>
      <c r="N195" s="114"/>
      <c r="O195" s="114"/>
      <c r="P195" s="114"/>
    </row>
    <row r="196" spans="10:16" x14ac:dyDescent="0.25">
      <c r="J196" s="206"/>
      <c r="K196" s="206"/>
      <c r="L196" s="155" t="s">
        <v>339</v>
      </c>
      <c r="M196" s="144"/>
      <c r="N196" s="114"/>
      <c r="O196" s="114"/>
      <c r="P196" s="114"/>
    </row>
    <row r="197" spans="10:16" x14ac:dyDescent="0.25">
      <c r="J197" s="206"/>
      <c r="K197" s="206"/>
      <c r="L197" s="155" t="s">
        <v>340</v>
      </c>
      <c r="M197" s="144"/>
      <c r="N197" s="114"/>
      <c r="O197" s="114"/>
      <c r="P197" s="114"/>
    </row>
    <row r="198" spans="10:16" x14ac:dyDescent="0.25">
      <c r="J198" s="206" t="s">
        <v>345</v>
      </c>
      <c r="K198" s="206"/>
      <c r="L198" s="155" t="s">
        <v>346</v>
      </c>
      <c r="M198" s="144"/>
      <c r="N198" s="114"/>
      <c r="O198" s="114"/>
      <c r="P198" s="114"/>
    </row>
    <row r="199" spans="10:16" x14ac:dyDescent="0.25">
      <c r="J199" s="206"/>
      <c r="K199" s="206"/>
      <c r="L199" s="155" t="s">
        <v>339</v>
      </c>
      <c r="M199" s="144"/>
      <c r="N199" s="114"/>
      <c r="O199" s="114"/>
      <c r="P199" s="114"/>
    </row>
    <row r="200" spans="10:16" x14ac:dyDescent="0.25">
      <c r="J200" s="206"/>
      <c r="K200" s="206"/>
      <c r="L200" s="155" t="s">
        <v>340</v>
      </c>
      <c r="M200" s="144"/>
      <c r="N200" s="114"/>
      <c r="O200" s="114"/>
      <c r="P200" s="114"/>
    </row>
    <row r="201" spans="10:16" x14ac:dyDescent="0.25">
      <c r="J201" s="206"/>
      <c r="K201" s="206"/>
      <c r="L201" s="155" t="s">
        <v>342</v>
      </c>
      <c r="M201" s="144"/>
      <c r="N201" s="114"/>
      <c r="O201" s="114"/>
      <c r="P201" s="114"/>
    </row>
    <row r="202" spans="10:16" x14ac:dyDescent="0.25">
      <c r="J202" s="206"/>
      <c r="K202" s="206"/>
      <c r="L202" s="155" t="s">
        <v>343</v>
      </c>
      <c r="M202" s="144"/>
      <c r="N202" s="114"/>
      <c r="O202" s="114"/>
      <c r="P202" s="114"/>
    </row>
    <row r="203" spans="10:16" x14ac:dyDescent="0.25">
      <c r="J203" s="206" t="s">
        <v>347</v>
      </c>
      <c r="K203" s="206"/>
      <c r="L203" s="155" t="s">
        <v>219</v>
      </c>
      <c r="M203" s="144"/>
      <c r="N203" s="114"/>
      <c r="O203" s="114"/>
      <c r="P203" s="114"/>
    </row>
    <row r="204" spans="10:16" x14ac:dyDescent="0.25">
      <c r="J204" s="206" t="s">
        <v>348</v>
      </c>
      <c r="K204" s="206"/>
      <c r="L204" s="155" t="s">
        <v>349</v>
      </c>
      <c r="M204" s="144"/>
      <c r="N204" s="114"/>
      <c r="O204" s="114"/>
      <c r="P204" s="114"/>
    </row>
    <row r="205" spans="10:16" x14ac:dyDescent="0.25">
      <c r="J205" s="206"/>
      <c r="K205" s="206"/>
      <c r="L205" s="155" t="s">
        <v>350</v>
      </c>
      <c r="M205" s="114"/>
      <c r="N205" s="114"/>
      <c r="O205" s="114"/>
      <c r="P205" s="114"/>
    </row>
    <row r="206" spans="10:16" x14ac:dyDescent="0.25">
      <c r="J206" s="206"/>
      <c r="K206" s="206"/>
      <c r="L206" s="155" t="s">
        <v>351</v>
      </c>
      <c r="M206" s="114"/>
      <c r="N206" s="114"/>
      <c r="O206" s="114"/>
      <c r="P206" s="114"/>
    </row>
    <row r="207" spans="10:16" x14ac:dyDescent="0.25">
      <c r="J207" s="206"/>
      <c r="K207" s="206"/>
      <c r="L207" s="155" t="s">
        <v>219</v>
      </c>
      <c r="M207" s="114"/>
      <c r="N207" s="114"/>
      <c r="O207" s="114"/>
      <c r="P207" s="114"/>
    </row>
    <row r="208" spans="10:16" x14ac:dyDescent="0.25">
      <c r="J208" s="206"/>
      <c r="K208" s="206"/>
      <c r="L208" s="155" t="s">
        <v>220</v>
      </c>
      <c r="M208" s="114"/>
      <c r="N208" s="114"/>
      <c r="O208" s="114"/>
      <c r="P208" s="114"/>
    </row>
    <row r="209" spans="10:16" x14ac:dyDescent="0.25">
      <c r="J209" s="206" t="s">
        <v>352</v>
      </c>
      <c r="K209" s="206"/>
      <c r="L209" s="155" t="s">
        <v>353</v>
      </c>
      <c r="M209" s="114"/>
      <c r="N209" s="114"/>
      <c r="O209" s="114"/>
      <c r="P209" s="114"/>
    </row>
    <row r="210" spans="10:16" x14ac:dyDescent="0.25">
      <c r="J210" s="206"/>
      <c r="K210" s="206"/>
      <c r="L210" s="155" t="s">
        <v>220</v>
      </c>
      <c r="M210" s="114"/>
      <c r="N210" s="114"/>
      <c r="O210" s="114"/>
      <c r="P210" s="114"/>
    </row>
    <row r="211" spans="10:16" x14ac:dyDescent="0.25">
      <c r="J211" s="204" t="s">
        <v>354</v>
      </c>
      <c r="K211" s="204"/>
      <c r="L211" s="155" t="s">
        <v>353</v>
      </c>
      <c r="M211" s="114"/>
      <c r="N211" s="114"/>
      <c r="O211" s="114"/>
      <c r="P211" s="114"/>
    </row>
    <row r="212" spans="10:16" x14ac:dyDescent="0.25">
      <c r="J212" s="204"/>
      <c r="K212" s="204"/>
      <c r="L212" s="155" t="s">
        <v>220</v>
      </c>
      <c r="M212" s="114"/>
      <c r="N212" s="114"/>
      <c r="O212" s="114"/>
      <c r="P212" s="114"/>
    </row>
    <row r="213" spans="10:16" ht="30" x14ac:dyDescent="0.25">
      <c r="J213" s="204" t="s">
        <v>355</v>
      </c>
      <c r="K213" s="204"/>
      <c r="L213" s="156" t="s">
        <v>356</v>
      </c>
      <c r="M213" s="114"/>
      <c r="N213" s="114"/>
      <c r="O213" s="114"/>
      <c r="P213" s="114"/>
    </row>
    <row r="214" spans="10:16" x14ac:dyDescent="0.25">
      <c r="J214" s="204" t="s">
        <v>357</v>
      </c>
      <c r="K214" s="204"/>
      <c r="L214" s="154" t="s">
        <v>358</v>
      </c>
      <c r="M214" s="114"/>
      <c r="N214" s="114"/>
      <c r="O214" s="114"/>
      <c r="P214" s="114"/>
    </row>
  </sheetData>
  <mergeCells count="43">
    <mergeCell ref="J19:K19"/>
    <mergeCell ref="B4:C4"/>
    <mergeCell ref="B5:C5"/>
    <mergeCell ref="B6:C6"/>
    <mergeCell ref="B7:G7"/>
    <mergeCell ref="J18:K18"/>
    <mergeCell ref="B20:G20"/>
    <mergeCell ref="J20:K28"/>
    <mergeCell ref="J29:K69"/>
    <mergeCell ref="B34:G34"/>
    <mergeCell ref="B47:G47"/>
    <mergeCell ref="B60:G60"/>
    <mergeCell ref="J156:K164"/>
    <mergeCell ref="J70:K78"/>
    <mergeCell ref="J79:K112"/>
    <mergeCell ref="J113:K119"/>
    <mergeCell ref="J120:J137"/>
    <mergeCell ref="K120:K121"/>
    <mergeCell ref="K122:K123"/>
    <mergeCell ref="K124:K125"/>
    <mergeCell ref="K126:K127"/>
    <mergeCell ref="K128:K129"/>
    <mergeCell ref="K130:K131"/>
    <mergeCell ref="K132:K133"/>
    <mergeCell ref="K134:K135"/>
    <mergeCell ref="K136:K137"/>
    <mergeCell ref="J138:K146"/>
    <mergeCell ref="J147:K155"/>
    <mergeCell ref="J165:K173"/>
    <mergeCell ref="J174:K181"/>
    <mergeCell ref="J182:K182"/>
    <mergeCell ref="J183:J188"/>
    <mergeCell ref="K183:K185"/>
    <mergeCell ref="K186:K188"/>
    <mergeCell ref="J211:K212"/>
    <mergeCell ref="J213:K213"/>
    <mergeCell ref="J214:K214"/>
    <mergeCell ref="J189:K194"/>
    <mergeCell ref="J195:K197"/>
    <mergeCell ref="J198:K202"/>
    <mergeCell ref="J203:K203"/>
    <mergeCell ref="J204:K208"/>
    <mergeCell ref="J209:K2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216"/>
  <sheetViews>
    <sheetView topLeftCell="A4" workbookViewId="0">
      <selection activeCell="K8" sqref="K8:P15"/>
    </sheetView>
  </sheetViews>
  <sheetFormatPr defaultRowHeight="15" x14ac:dyDescent="0.25"/>
  <cols>
    <col min="3" max="3" width="10.42578125" bestFit="1" customWidth="1"/>
    <col min="12" max="12" width="12.28515625" bestFit="1" customWidth="1"/>
    <col min="13" max="13" width="16.85546875" bestFit="1" customWidth="1"/>
    <col min="14" max="14" width="11.140625" customWidth="1"/>
    <col min="17" max="17" width="18.28515625" bestFit="1" customWidth="1"/>
    <col min="18" max="18" width="18.28515625" customWidth="1"/>
    <col min="20" max="20" width="31" customWidth="1"/>
  </cols>
  <sheetData>
    <row r="3" spans="2:18" ht="15.75" x14ac:dyDescent="0.25">
      <c r="K3" s="191">
        <v>63</v>
      </c>
      <c r="L3" s="191">
        <v>75</v>
      </c>
      <c r="M3" s="191">
        <v>90</v>
      </c>
      <c r="N3" s="191">
        <v>110</v>
      </c>
      <c r="O3" s="191">
        <v>125</v>
      </c>
      <c r="P3" s="191">
        <v>140</v>
      </c>
      <c r="Q3" s="191">
        <v>160</v>
      </c>
    </row>
    <row r="4" spans="2:18" ht="15.75" x14ac:dyDescent="0.25">
      <c r="B4" s="214" t="s">
        <v>178</v>
      </c>
      <c r="C4" s="214"/>
      <c r="D4" s="171" t="s">
        <v>179</v>
      </c>
      <c r="E4" s="172"/>
      <c r="F4" s="172"/>
      <c r="G4" s="187"/>
      <c r="K4" s="137">
        <v>4151.5</v>
      </c>
      <c r="L4" s="137">
        <v>2405.3000000000002</v>
      </c>
      <c r="M4" s="137">
        <v>715.5</v>
      </c>
      <c r="N4" s="137">
        <v>2122.3000000000002</v>
      </c>
      <c r="O4" s="137"/>
      <c r="P4" s="137">
        <v>2670.1</v>
      </c>
      <c r="Q4" s="137">
        <v>166.8</v>
      </c>
    </row>
    <row r="5" spans="2:18" ht="15.75" x14ac:dyDescent="0.25">
      <c r="B5" s="214" t="s">
        <v>36</v>
      </c>
      <c r="C5" s="214"/>
      <c r="D5" s="171" t="s">
        <v>397</v>
      </c>
      <c r="E5" s="172"/>
      <c r="F5" s="172"/>
      <c r="G5" s="187"/>
    </row>
    <row r="6" spans="2:18" ht="15.75" x14ac:dyDescent="0.25">
      <c r="B6" s="215" t="s">
        <v>181</v>
      </c>
      <c r="C6" s="215"/>
      <c r="D6" s="182" t="s">
        <v>398</v>
      </c>
      <c r="E6" s="183"/>
      <c r="F6" s="183"/>
      <c r="G6" s="188"/>
    </row>
    <row r="7" spans="2:18" ht="18.75" x14ac:dyDescent="0.25">
      <c r="B7" s="210" t="s">
        <v>183</v>
      </c>
      <c r="C7" s="211"/>
      <c r="D7" s="211"/>
      <c r="E7" s="211"/>
      <c r="F7" s="211"/>
      <c r="G7" s="212"/>
    </row>
    <row r="8" spans="2:18" ht="50.25" customHeight="1" x14ac:dyDescent="0.25">
      <c r="B8" s="153" t="s">
        <v>184</v>
      </c>
      <c r="C8" s="153" t="s">
        <v>185</v>
      </c>
      <c r="D8" s="153" t="s">
        <v>186</v>
      </c>
      <c r="E8" s="127" t="s">
        <v>187</v>
      </c>
      <c r="F8" s="127" t="s">
        <v>188</v>
      </c>
      <c r="G8" s="153" t="s">
        <v>202</v>
      </c>
      <c r="K8" s="142" t="s">
        <v>375</v>
      </c>
      <c r="L8" s="153" t="s">
        <v>376</v>
      </c>
      <c r="M8" s="153" t="s">
        <v>186</v>
      </c>
      <c r="N8" s="127" t="s">
        <v>187</v>
      </c>
      <c r="O8" s="127" t="s">
        <v>188</v>
      </c>
      <c r="P8" s="153" t="s">
        <v>202</v>
      </c>
    </row>
    <row r="9" spans="2:18" x14ac:dyDescent="0.25">
      <c r="B9" s="132">
        <v>1</v>
      </c>
      <c r="C9" s="131">
        <v>44585</v>
      </c>
      <c r="D9" s="132">
        <v>2250</v>
      </c>
      <c r="E9" s="132"/>
      <c r="F9" s="132"/>
      <c r="G9" s="132">
        <v>2767</v>
      </c>
      <c r="K9" s="144" t="s">
        <v>183</v>
      </c>
      <c r="L9" s="137">
        <f>+[154]SESHPURADARGANJ!$G$444</f>
        <v>4871</v>
      </c>
      <c r="M9" s="144">
        <f>+D19</f>
        <v>4780</v>
      </c>
      <c r="N9" s="137">
        <f>+[154]SESHPURADARGANJ!$U$155</f>
        <v>4151.4999999999991</v>
      </c>
      <c r="O9" s="144">
        <f>+M9-N9</f>
        <v>628.50000000000091</v>
      </c>
      <c r="P9" s="114"/>
    </row>
    <row r="10" spans="2:18" x14ac:dyDescent="0.25">
      <c r="B10" s="132">
        <f>1+B9</f>
        <v>2</v>
      </c>
      <c r="C10" s="131">
        <v>44608</v>
      </c>
      <c r="D10" s="132">
        <v>2530</v>
      </c>
      <c r="E10" s="132"/>
      <c r="F10" s="132"/>
      <c r="G10" s="132">
        <v>2777</v>
      </c>
      <c r="K10" s="144" t="s">
        <v>191</v>
      </c>
      <c r="L10" s="137">
        <f>+[154]SESHPURADARGANJ!$H$444</f>
        <v>2635</v>
      </c>
      <c r="M10" s="144">
        <f>+D33</f>
        <v>2600</v>
      </c>
      <c r="N10" s="137">
        <f>+[154]SESHPURADARGANJ!$V$155</f>
        <v>2405.2999999999997</v>
      </c>
      <c r="O10" s="144">
        <f t="shared" ref="O10:O14" si="0">+M10-N10</f>
        <v>194.70000000000027</v>
      </c>
      <c r="P10" s="114"/>
    </row>
    <row r="11" spans="2:18" x14ac:dyDescent="0.25">
      <c r="B11" s="132"/>
      <c r="C11" s="131"/>
      <c r="D11" s="132"/>
      <c r="E11" s="132"/>
      <c r="F11" s="132"/>
      <c r="G11" s="132"/>
      <c r="K11" s="144" t="s">
        <v>192</v>
      </c>
      <c r="L11" s="137">
        <f>+[154]SESHPURADARGANJ!$I$444</f>
        <v>985</v>
      </c>
      <c r="M11" s="144">
        <f>+D46</f>
        <v>900</v>
      </c>
      <c r="N11" s="137">
        <f>+[154]SESHPURADARGANJ!$W$155</f>
        <v>715.5</v>
      </c>
      <c r="O11" s="144">
        <f t="shared" si="0"/>
        <v>184.5</v>
      </c>
      <c r="P11" s="114"/>
    </row>
    <row r="12" spans="2:18" x14ac:dyDescent="0.25">
      <c r="B12" s="132"/>
      <c r="C12" s="131"/>
      <c r="D12" s="132"/>
      <c r="E12" s="132"/>
      <c r="F12" s="132"/>
      <c r="G12" s="132"/>
      <c r="K12" s="144" t="s">
        <v>193</v>
      </c>
      <c r="L12" s="137">
        <f>+[154]SESHPURADARGANJ!$J$444</f>
        <v>2015</v>
      </c>
      <c r="M12" s="144">
        <f>+D58</f>
        <v>1800</v>
      </c>
      <c r="N12" s="137">
        <f>+[154]SESHPURADARGANJ!$X$155</f>
        <v>2122.3000000000002</v>
      </c>
      <c r="O12" s="144">
        <f t="shared" si="0"/>
        <v>-322.30000000000018</v>
      </c>
      <c r="P12" s="114"/>
      <c r="R12">
        <f>322.5-150</f>
        <v>172.5</v>
      </c>
    </row>
    <row r="13" spans="2:18" x14ac:dyDescent="0.25">
      <c r="B13" s="132"/>
      <c r="C13" s="131"/>
      <c r="D13" s="132"/>
      <c r="E13" s="132"/>
      <c r="F13" s="132"/>
      <c r="G13" s="132"/>
      <c r="K13" s="144" t="s">
        <v>195</v>
      </c>
      <c r="L13" s="137">
        <f>+[154]SESHPURADARGANJ!$L$444</f>
        <v>2689</v>
      </c>
      <c r="M13" s="144">
        <f>+D68</f>
        <v>2544</v>
      </c>
      <c r="N13" s="137">
        <f>+[154]SESHPURADARGANJ!$Y$155</f>
        <v>2603.1000000000008</v>
      </c>
      <c r="O13" s="144">
        <f t="shared" si="0"/>
        <v>-59.100000000000819</v>
      </c>
      <c r="P13" s="114"/>
    </row>
    <row r="14" spans="2:18" x14ac:dyDescent="0.25">
      <c r="B14" s="132"/>
      <c r="C14" s="131"/>
      <c r="D14" s="132"/>
      <c r="E14" s="132"/>
      <c r="F14" s="132"/>
      <c r="G14" s="132"/>
      <c r="K14" s="144" t="s">
        <v>196</v>
      </c>
      <c r="L14" s="137">
        <f>+[154]SESHPURADARGANJ!$M$444</f>
        <v>179</v>
      </c>
      <c r="M14" s="144">
        <f>+D78</f>
        <v>180</v>
      </c>
      <c r="N14" s="137">
        <f>+[154]SESHPURADARGANJ!$Z$155</f>
        <v>166.8</v>
      </c>
      <c r="O14" s="144">
        <f t="shared" si="0"/>
        <v>13.199999999999989</v>
      </c>
      <c r="P14" s="114"/>
    </row>
    <row r="15" spans="2:18" x14ac:dyDescent="0.25">
      <c r="B15" s="132"/>
      <c r="C15" s="131"/>
      <c r="D15" s="132"/>
      <c r="E15" s="132"/>
      <c r="F15" s="132"/>
      <c r="G15" s="173"/>
      <c r="K15" s="114"/>
      <c r="L15" s="114"/>
      <c r="M15" s="144"/>
      <c r="N15" s="137">
        <f>+SUM(N9:N14)</f>
        <v>12164.499999999998</v>
      </c>
      <c r="O15" s="114"/>
      <c r="P15" s="114"/>
      <c r="R15">
        <f>156/12</f>
        <v>13</v>
      </c>
    </row>
    <row r="16" spans="2:18" x14ac:dyDescent="0.25">
      <c r="B16" s="132"/>
      <c r="C16" s="131"/>
      <c r="D16" s="132"/>
      <c r="E16" s="132"/>
      <c r="F16" s="132"/>
      <c r="G16" s="173"/>
      <c r="N16">
        <f>+N15-9800</f>
        <v>2364.4999999999982</v>
      </c>
    </row>
    <row r="17" spans="2:20" x14ac:dyDescent="0.25">
      <c r="B17" s="132"/>
      <c r="C17" s="131"/>
      <c r="D17" s="132"/>
      <c r="E17" s="132"/>
      <c r="F17" s="132"/>
      <c r="G17" s="173"/>
    </row>
    <row r="18" spans="2:20" x14ac:dyDescent="0.25">
      <c r="B18" s="132"/>
      <c r="C18" s="131"/>
      <c r="D18" s="132"/>
      <c r="E18" s="132"/>
      <c r="F18" s="132"/>
      <c r="G18" s="173"/>
    </row>
    <row r="19" spans="2:20" x14ac:dyDescent="0.25">
      <c r="B19" s="132"/>
      <c r="C19" s="131" t="s">
        <v>190</v>
      </c>
      <c r="D19" s="132">
        <f>SUM(D9:D18)</f>
        <v>4780</v>
      </c>
      <c r="E19" s="132"/>
      <c r="F19" s="132"/>
      <c r="G19" s="173"/>
    </row>
    <row r="20" spans="2:20" ht="18.75" x14ac:dyDescent="0.25">
      <c r="B20" s="210" t="s">
        <v>191</v>
      </c>
      <c r="C20" s="211"/>
      <c r="D20" s="211"/>
      <c r="E20" s="211"/>
      <c r="F20" s="211"/>
      <c r="G20" s="212"/>
    </row>
    <row r="21" spans="2:20" ht="60" x14ac:dyDescent="0.25">
      <c r="B21" s="153" t="s">
        <v>184</v>
      </c>
      <c r="C21" s="153" t="s">
        <v>185</v>
      </c>
      <c r="D21" s="153" t="s">
        <v>186</v>
      </c>
      <c r="E21" s="127" t="s">
        <v>187</v>
      </c>
      <c r="F21" s="127" t="s">
        <v>188</v>
      </c>
      <c r="G21" s="153" t="s">
        <v>202</v>
      </c>
      <c r="K21" s="213" t="s">
        <v>197</v>
      </c>
      <c r="L21" s="213"/>
      <c r="M21" s="140" t="s">
        <v>198</v>
      </c>
      <c r="N21" s="141" t="s">
        <v>199</v>
      </c>
      <c r="O21" s="141" t="s">
        <v>200</v>
      </c>
      <c r="P21" s="141" t="s">
        <v>201</v>
      </c>
      <c r="Q21" s="141" t="s">
        <v>202</v>
      </c>
      <c r="R21" s="141" t="s">
        <v>399</v>
      </c>
      <c r="T21" s="189" t="s">
        <v>400</v>
      </c>
    </row>
    <row r="22" spans="2:20" x14ac:dyDescent="0.25">
      <c r="B22" s="132">
        <v>1</v>
      </c>
      <c r="C22" s="131">
        <v>44974</v>
      </c>
      <c r="D22" s="132">
        <v>900</v>
      </c>
      <c r="E22" s="132"/>
      <c r="F22" s="132"/>
      <c r="G22" s="132">
        <v>2780</v>
      </c>
      <c r="K22" s="204" t="s">
        <v>204</v>
      </c>
      <c r="L22" s="204"/>
      <c r="M22" s="143" t="s">
        <v>205</v>
      </c>
      <c r="N22" s="137">
        <f>5+2</f>
        <v>7</v>
      </c>
      <c r="O22" s="144">
        <v>1</v>
      </c>
      <c r="P22" s="114"/>
      <c r="Q22" s="137">
        <v>2769</v>
      </c>
      <c r="R22" s="144" t="s">
        <v>401</v>
      </c>
      <c r="T22" t="s">
        <v>402</v>
      </c>
    </row>
    <row r="23" spans="2:20" x14ac:dyDescent="0.25">
      <c r="B23" s="132">
        <v>2</v>
      </c>
      <c r="C23" s="131">
        <v>44981</v>
      </c>
      <c r="D23" s="132">
        <v>800</v>
      </c>
      <c r="E23" s="132"/>
      <c r="F23" s="132"/>
      <c r="G23" s="132">
        <v>2781</v>
      </c>
      <c r="K23" s="204"/>
      <c r="L23" s="204"/>
      <c r="M23" s="143" t="s">
        <v>208</v>
      </c>
      <c r="N23" s="137">
        <f>1+1</f>
        <v>2</v>
      </c>
      <c r="O23" s="144"/>
      <c r="P23" s="114"/>
      <c r="Q23" s="137" t="s">
        <v>403</v>
      </c>
      <c r="R23" s="144"/>
      <c r="T23" t="s">
        <v>404</v>
      </c>
    </row>
    <row r="24" spans="2:20" x14ac:dyDescent="0.25">
      <c r="B24" s="132">
        <v>3</v>
      </c>
      <c r="C24" s="131">
        <v>45010</v>
      </c>
      <c r="D24" s="132">
        <v>900</v>
      </c>
      <c r="E24" s="132"/>
      <c r="F24" s="132"/>
      <c r="G24" s="132">
        <v>2786</v>
      </c>
      <c r="K24" s="204"/>
      <c r="L24" s="204"/>
      <c r="M24" s="143" t="s">
        <v>210</v>
      </c>
      <c r="N24" s="137">
        <v>7</v>
      </c>
      <c r="O24" s="144"/>
      <c r="P24" s="114"/>
      <c r="Q24" s="137">
        <v>2779</v>
      </c>
      <c r="R24" s="144"/>
      <c r="T24" t="s">
        <v>405</v>
      </c>
    </row>
    <row r="25" spans="2:20" x14ac:dyDescent="0.25">
      <c r="B25" s="132"/>
      <c r="C25" s="131"/>
      <c r="D25" s="132"/>
      <c r="E25" s="132"/>
      <c r="F25" s="132"/>
      <c r="G25" s="132"/>
      <c r="K25" s="204"/>
      <c r="L25" s="204"/>
      <c r="M25" s="143" t="s">
        <v>213</v>
      </c>
      <c r="N25" s="137">
        <f>1+1+1</f>
        <v>3</v>
      </c>
      <c r="O25" s="144">
        <v>1</v>
      </c>
      <c r="P25" s="114"/>
      <c r="Q25" s="141" t="s">
        <v>406</v>
      </c>
      <c r="R25" s="144" t="s">
        <v>407</v>
      </c>
      <c r="T25" t="s">
        <v>408</v>
      </c>
    </row>
    <row r="26" spans="2:20" x14ac:dyDescent="0.25">
      <c r="B26" s="132"/>
      <c r="C26" s="131"/>
      <c r="D26" s="132"/>
      <c r="E26" s="132"/>
      <c r="F26" s="132"/>
      <c r="G26" s="132"/>
      <c r="K26" s="204"/>
      <c r="L26" s="204"/>
      <c r="M26" s="143" t="s">
        <v>216</v>
      </c>
      <c r="N26" s="137"/>
      <c r="O26" s="114"/>
      <c r="P26" s="114"/>
      <c r="Q26" s="137"/>
      <c r="R26" s="114"/>
      <c r="T26" t="s">
        <v>409</v>
      </c>
    </row>
    <row r="27" spans="2:20" x14ac:dyDescent="0.25">
      <c r="B27" s="132"/>
      <c r="C27" s="131"/>
      <c r="D27" s="132"/>
      <c r="E27" s="132"/>
      <c r="F27" s="132"/>
      <c r="G27" s="132"/>
      <c r="K27" s="204"/>
      <c r="L27" s="204"/>
      <c r="M27" s="143" t="s">
        <v>217</v>
      </c>
      <c r="N27" s="137">
        <f>2+2</f>
        <v>4</v>
      </c>
      <c r="O27" s="114"/>
      <c r="P27" s="114"/>
      <c r="Q27" s="137" t="s">
        <v>410</v>
      </c>
      <c r="R27" s="114"/>
      <c r="T27" t="s">
        <v>411</v>
      </c>
    </row>
    <row r="28" spans="2:20" x14ac:dyDescent="0.25">
      <c r="B28" s="132"/>
      <c r="C28" s="131"/>
      <c r="D28" s="132"/>
      <c r="E28" s="132"/>
      <c r="F28" s="132"/>
      <c r="G28" s="132"/>
      <c r="K28" s="204"/>
      <c r="L28" s="204"/>
      <c r="M28" s="143" t="s">
        <v>218</v>
      </c>
      <c r="N28" s="137">
        <f>1+1</f>
        <v>2</v>
      </c>
      <c r="O28" s="114"/>
      <c r="P28" s="114"/>
      <c r="Q28" s="137" t="s">
        <v>410</v>
      </c>
      <c r="R28" s="114"/>
      <c r="T28" t="s">
        <v>412</v>
      </c>
    </row>
    <row r="29" spans="2:20" x14ac:dyDescent="0.25">
      <c r="B29" s="132"/>
      <c r="C29" s="131"/>
      <c r="D29" s="132"/>
      <c r="E29" s="132"/>
      <c r="F29" s="132"/>
      <c r="G29" s="132"/>
      <c r="K29" s="204"/>
      <c r="L29" s="204"/>
      <c r="M29" s="143" t="s">
        <v>219</v>
      </c>
      <c r="N29" s="137"/>
      <c r="O29" s="114"/>
      <c r="P29" s="114"/>
      <c r="Q29" s="114"/>
      <c r="R29" s="114"/>
      <c r="T29" t="s">
        <v>413</v>
      </c>
    </row>
    <row r="30" spans="2:20" x14ac:dyDescent="0.25">
      <c r="B30" s="132"/>
      <c r="C30" s="131"/>
      <c r="D30" s="132"/>
      <c r="E30" s="132"/>
      <c r="F30" s="132"/>
      <c r="G30" s="132"/>
      <c r="K30" s="204"/>
      <c r="L30" s="204"/>
      <c r="M30" s="143" t="s">
        <v>220</v>
      </c>
      <c r="N30" s="137"/>
      <c r="O30" s="114"/>
      <c r="P30" s="114"/>
      <c r="Q30" s="114"/>
      <c r="R30" s="114"/>
      <c r="T30" t="s">
        <v>414</v>
      </c>
    </row>
    <row r="31" spans="2:20" x14ac:dyDescent="0.25">
      <c r="B31" s="132"/>
      <c r="C31" s="131"/>
      <c r="D31" s="132"/>
      <c r="E31" s="132"/>
      <c r="F31" s="132"/>
      <c r="G31" s="132"/>
      <c r="K31" s="204" t="s">
        <v>54</v>
      </c>
      <c r="L31" s="204"/>
      <c r="M31" s="143" t="s">
        <v>221</v>
      </c>
      <c r="N31" s="137"/>
      <c r="O31" s="114"/>
      <c r="P31" s="114"/>
      <c r="Q31" s="114"/>
      <c r="R31" s="114"/>
      <c r="T31" t="s">
        <v>415</v>
      </c>
    </row>
    <row r="32" spans="2:20" x14ac:dyDescent="0.25">
      <c r="B32" s="132"/>
      <c r="C32" s="131"/>
      <c r="D32" s="132"/>
      <c r="E32" s="132"/>
      <c r="F32" s="132"/>
      <c r="G32" s="173"/>
      <c r="K32" s="204"/>
      <c r="L32" s="204"/>
      <c r="M32" s="143" t="s">
        <v>222</v>
      </c>
      <c r="N32" s="137"/>
      <c r="O32" s="114"/>
      <c r="P32" s="114"/>
      <c r="Q32" s="114"/>
      <c r="R32" s="114"/>
      <c r="T32" t="s">
        <v>416</v>
      </c>
    </row>
    <row r="33" spans="2:20" x14ac:dyDescent="0.25">
      <c r="B33" s="132"/>
      <c r="C33" s="131" t="s">
        <v>190</v>
      </c>
      <c r="D33" s="132">
        <f>SUM(D22:D32)</f>
        <v>2600</v>
      </c>
      <c r="E33" s="132"/>
      <c r="F33" s="132"/>
      <c r="G33" s="173"/>
      <c r="K33" s="204"/>
      <c r="L33" s="204"/>
      <c r="M33" s="143" t="s">
        <v>223</v>
      </c>
      <c r="N33" s="137"/>
      <c r="O33" s="114"/>
      <c r="P33" s="114"/>
      <c r="Q33" s="114"/>
      <c r="R33" s="114"/>
      <c r="T33" t="s">
        <v>417</v>
      </c>
    </row>
    <row r="34" spans="2:20" ht="18.75" x14ac:dyDescent="0.25">
      <c r="B34" s="210" t="s">
        <v>192</v>
      </c>
      <c r="C34" s="211"/>
      <c r="D34" s="211"/>
      <c r="E34" s="211"/>
      <c r="F34" s="211"/>
      <c r="G34" s="212"/>
      <c r="K34" s="204"/>
      <c r="L34" s="204"/>
      <c r="M34" s="143" t="s">
        <v>224</v>
      </c>
      <c r="N34" s="137"/>
      <c r="O34" s="114"/>
      <c r="P34" s="114"/>
      <c r="Q34" s="114"/>
      <c r="R34" s="114"/>
      <c r="T34" t="s">
        <v>418</v>
      </c>
    </row>
    <row r="35" spans="2:20" ht="60" x14ac:dyDescent="0.25">
      <c r="B35" s="153" t="s">
        <v>184</v>
      </c>
      <c r="C35" s="153" t="s">
        <v>185</v>
      </c>
      <c r="D35" s="153" t="s">
        <v>186</v>
      </c>
      <c r="E35" s="127" t="s">
        <v>187</v>
      </c>
      <c r="F35" s="127" t="s">
        <v>188</v>
      </c>
      <c r="G35" s="153" t="s">
        <v>202</v>
      </c>
      <c r="K35" s="204"/>
      <c r="L35" s="204"/>
      <c r="M35" s="143" t="s">
        <v>225</v>
      </c>
      <c r="N35" s="137"/>
      <c r="O35" s="114"/>
      <c r="P35" s="114"/>
      <c r="Q35" s="114"/>
      <c r="R35" s="114"/>
    </row>
    <row r="36" spans="2:20" x14ac:dyDescent="0.25">
      <c r="B36" s="174">
        <v>1</v>
      </c>
      <c r="C36" s="175">
        <v>44973</v>
      </c>
      <c r="D36" s="174">
        <v>900</v>
      </c>
      <c r="E36" s="174"/>
      <c r="F36" s="174"/>
      <c r="G36" s="132">
        <v>2777</v>
      </c>
      <c r="K36" s="204"/>
      <c r="L36" s="204"/>
      <c r="M36" s="143" t="s">
        <v>226</v>
      </c>
      <c r="N36" s="144"/>
      <c r="O36" s="144"/>
      <c r="P36" s="144"/>
      <c r="Q36" s="144"/>
      <c r="R36" s="144"/>
    </row>
    <row r="37" spans="2:20" x14ac:dyDescent="0.25">
      <c r="B37" s="174"/>
      <c r="C37" s="175"/>
      <c r="D37" s="174"/>
      <c r="E37" s="174"/>
      <c r="F37" s="174"/>
      <c r="G37" s="132"/>
      <c r="K37" s="204"/>
      <c r="L37" s="204"/>
      <c r="M37" s="143" t="s">
        <v>227</v>
      </c>
      <c r="N37" s="144"/>
      <c r="O37" s="144"/>
      <c r="P37" s="144"/>
      <c r="Q37" s="144"/>
      <c r="R37" s="144"/>
    </row>
    <row r="38" spans="2:20" x14ac:dyDescent="0.25">
      <c r="B38" s="132"/>
      <c r="C38" s="131"/>
      <c r="D38" s="132"/>
      <c r="E38" s="132"/>
      <c r="F38" s="132"/>
      <c r="G38" s="132"/>
      <c r="K38" s="204"/>
      <c r="L38" s="204"/>
      <c r="M38" s="143" t="s">
        <v>228</v>
      </c>
      <c r="N38" s="144">
        <f>1+3</f>
        <v>4</v>
      </c>
      <c r="O38" s="144"/>
      <c r="P38" s="144"/>
      <c r="Q38" s="144" t="s">
        <v>403</v>
      </c>
      <c r="R38" s="144"/>
    </row>
    <row r="39" spans="2:20" x14ac:dyDescent="0.25">
      <c r="B39" s="132"/>
      <c r="C39" s="131"/>
      <c r="D39" s="132"/>
      <c r="E39" s="132"/>
      <c r="F39" s="132"/>
      <c r="G39" s="132"/>
      <c r="K39" s="204"/>
      <c r="L39" s="204"/>
      <c r="M39" s="143" t="s">
        <v>230</v>
      </c>
      <c r="N39" s="144"/>
      <c r="O39" s="144"/>
      <c r="P39" s="144"/>
      <c r="Q39" s="144"/>
      <c r="R39" s="144"/>
    </row>
    <row r="40" spans="2:20" x14ac:dyDescent="0.25">
      <c r="B40" s="132"/>
      <c r="C40" s="131"/>
      <c r="D40" s="132"/>
      <c r="E40" s="132"/>
      <c r="F40" s="132"/>
      <c r="G40" s="132"/>
      <c r="K40" s="204"/>
      <c r="L40" s="204"/>
      <c r="M40" s="143" t="s">
        <v>233</v>
      </c>
      <c r="N40" s="144"/>
      <c r="O40" s="144"/>
      <c r="P40" s="144"/>
      <c r="Q40" s="144"/>
      <c r="R40" s="144"/>
    </row>
    <row r="41" spans="2:20" x14ac:dyDescent="0.25">
      <c r="B41" s="174"/>
      <c r="C41" s="175"/>
      <c r="D41" s="174"/>
      <c r="E41" s="174"/>
      <c r="F41" s="174"/>
      <c r="G41" s="132"/>
      <c r="K41" s="204"/>
      <c r="L41" s="204"/>
      <c r="M41" s="143" t="s">
        <v>235</v>
      </c>
      <c r="N41" s="144">
        <v>1</v>
      </c>
      <c r="O41" s="144">
        <v>1</v>
      </c>
      <c r="P41" s="144"/>
      <c r="Q41" s="144">
        <v>2768</v>
      </c>
      <c r="R41" s="144" t="s">
        <v>419</v>
      </c>
    </row>
    <row r="42" spans="2:20" x14ac:dyDescent="0.25">
      <c r="B42" s="174"/>
      <c r="C42" s="175"/>
      <c r="D42" s="176"/>
      <c r="E42" s="174"/>
      <c r="F42" s="174"/>
      <c r="G42" s="132"/>
      <c r="K42" s="204"/>
      <c r="L42" s="204"/>
      <c r="M42" s="143" t="s">
        <v>238</v>
      </c>
      <c r="N42" s="144">
        <v>5</v>
      </c>
      <c r="O42" s="144"/>
      <c r="P42" s="144"/>
      <c r="Q42" s="144"/>
      <c r="R42" s="144"/>
    </row>
    <row r="43" spans="2:20" x14ac:dyDescent="0.25">
      <c r="B43" s="174"/>
      <c r="C43" s="175"/>
      <c r="D43" s="176"/>
      <c r="E43" s="174"/>
      <c r="F43" s="174"/>
      <c r="G43" s="132"/>
      <c r="K43" s="204"/>
      <c r="L43" s="204"/>
      <c r="M43" s="143" t="s">
        <v>239</v>
      </c>
      <c r="N43" s="144">
        <f>2+2</f>
        <v>4</v>
      </c>
      <c r="O43" s="144"/>
      <c r="P43" s="144"/>
      <c r="Q43" s="144" t="s">
        <v>420</v>
      </c>
      <c r="R43" s="144"/>
    </row>
    <row r="44" spans="2:20" x14ac:dyDescent="0.25">
      <c r="B44" s="174"/>
      <c r="C44" s="175"/>
      <c r="D44" s="176"/>
      <c r="E44" s="174"/>
      <c r="F44" s="174"/>
      <c r="G44" s="173"/>
      <c r="K44" s="204"/>
      <c r="L44" s="204"/>
      <c r="M44" s="143" t="s">
        <v>242</v>
      </c>
      <c r="N44" s="144"/>
      <c r="O44" s="144"/>
      <c r="P44" s="144"/>
      <c r="Q44" s="144"/>
      <c r="R44" s="144"/>
    </row>
    <row r="45" spans="2:20" x14ac:dyDescent="0.25">
      <c r="B45" s="174"/>
      <c r="C45" s="175"/>
      <c r="D45" s="176"/>
      <c r="E45" s="174"/>
      <c r="F45" s="174"/>
      <c r="G45" s="173"/>
      <c r="K45" s="204"/>
      <c r="L45" s="204"/>
      <c r="M45" s="143" t="s">
        <v>243</v>
      </c>
      <c r="N45" s="144"/>
      <c r="O45" s="144"/>
      <c r="P45" s="144"/>
      <c r="Q45" s="144"/>
      <c r="R45" s="144"/>
    </row>
    <row r="46" spans="2:20" x14ac:dyDescent="0.25">
      <c r="B46" s="174"/>
      <c r="C46" s="131" t="s">
        <v>190</v>
      </c>
      <c r="D46" s="132">
        <f>SUM(D36:D45)</f>
        <v>900</v>
      </c>
      <c r="E46" s="174"/>
      <c r="F46" s="174"/>
      <c r="G46" s="173"/>
      <c r="K46" s="204"/>
      <c r="L46" s="204"/>
      <c r="M46" s="143" t="s">
        <v>244</v>
      </c>
      <c r="N46" s="144"/>
      <c r="O46" s="144"/>
      <c r="P46" s="144"/>
      <c r="Q46" s="144"/>
      <c r="R46" s="144"/>
    </row>
    <row r="47" spans="2:20" ht="18.75" x14ac:dyDescent="0.25">
      <c r="B47" s="210" t="s">
        <v>193</v>
      </c>
      <c r="C47" s="211"/>
      <c r="D47" s="211"/>
      <c r="E47" s="211"/>
      <c r="F47" s="211"/>
      <c r="G47" s="212"/>
      <c r="K47" s="204"/>
      <c r="L47" s="204"/>
      <c r="M47" s="143" t="s">
        <v>245</v>
      </c>
      <c r="N47" s="144"/>
      <c r="O47" s="144"/>
      <c r="P47" s="144"/>
      <c r="Q47" s="144"/>
      <c r="R47" s="144"/>
    </row>
    <row r="48" spans="2:20" ht="60" x14ac:dyDescent="0.25">
      <c r="B48" s="153" t="s">
        <v>184</v>
      </c>
      <c r="C48" s="153" t="s">
        <v>185</v>
      </c>
      <c r="D48" s="153" t="s">
        <v>186</v>
      </c>
      <c r="E48" s="127" t="s">
        <v>187</v>
      </c>
      <c r="F48" s="127" t="s">
        <v>188</v>
      </c>
      <c r="G48" s="153" t="s">
        <v>202</v>
      </c>
      <c r="K48" s="204"/>
      <c r="L48" s="204"/>
      <c r="M48" s="143" t="s">
        <v>246</v>
      </c>
      <c r="N48" s="137">
        <f>2+3+1+3+2</f>
        <v>11</v>
      </c>
      <c r="O48" s="137">
        <f>1+1+2+1</f>
        <v>5</v>
      </c>
      <c r="P48" s="144"/>
      <c r="Q48" s="141" t="s">
        <v>421</v>
      </c>
      <c r="R48" s="137" t="s">
        <v>422</v>
      </c>
    </row>
    <row r="49" spans="2:18" x14ac:dyDescent="0.25">
      <c r="B49" s="132">
        <v>1</v>
      </c>
      <c r="C49" s="131">
        <v>44585</v>
      </c>
      <c r="D49" s="132">
        <v>600</v>
      </c>
      <c r="E49" s="132"/>
      <c r="F49" s="132"/>
      <c r="G49" s="132">
        <v>2767</v>
      </c>
      <c r="K49" s="204"/>
      <c r="L49" s="204"/>
      <c r="M49" s="143" t="s">
        <v>249</v>
      </c>
      <c r="N49" s="137">
        <f>3+2+2+3</f>
        <v>10</v>
      </c>
      <c r="O49" s="137">
        <f>1+1+1</f>
        <v>3</v>
      </c>
      <c r="P49" s="144"/>
      <c r="Q49" s="144" t="s">
        <v>423</v>
      </c>
      <c r="R49" s="137" t="s">
        <v>424</v>
      </c>
    </row>
    <row r="50" spans="2:18" x14ac:dyDescent="0.25">
      <c r="B50" s="132">
        <v>2</v>
      </c>
      <c r="C50" s="131">
        <v>44964</v>
      </c>
      <c r="D50" s="132">
        <v>1200</v>
      </c>
      <c r="E50" s="132"/>
      <c r="F50" s="132"/>
      <c r="G50" s="132">
        <v>2772</v>
      </c>
      <c r="K50" s="204"/>
      <c r="L50" s="204"/>
      <c r="M50" s="143" t="s">
        <v>252</v>
      </c>
      <c r="N50" s="137">
        <f>1+1+1</f>
        <v>3</v>
      </c>
      <c r="O50" s="137"/>
      <c r="P50" s="144"/>
      <c r="Q50" s="144" t="s">
        <v>425</v>
      </c>
      <c r="R50" s="137"/>
    </row>
    <row r="51" spans="2:18" ht="13.5" customHeight="1" x14ac:dyDescent="0.25">
      <c r="B51" s="132"/>
      <c r="C51" s="131"/>
      <c r="D51" s="132"/>
      <c r="E51" s="132"/>
      <c r="F51" s="132"/>
      <c r="G51" s="132"/>
      <c r="K51" s="204"/>
      <c r="L51" s="204"/>
      <c r="M51" s="143" t="s">
        <v>254</v>
      </c>
      <c r="N51" s="137">
        <v>2</v>
      </c>
      <c r="O51" s="137">
        <v>2</v>
      </c>
      <c r="P51" s="144"/>
      <c r="Q51" s="144">
        <v>2768</v>
      </c>
      <c r="R51" s="137" t="s">
        <v>426</v>
      </c>
    </row>
    <row r="52" spans="2:18" x14ac:dyDescent="0.25">
      <c r="B52" s="132"/>
      <c r="C52" s="131"/>
      <c r="D52" s="132"/>
      <c r="E52" s="132"/>
      <c r="F52" s="132"/>
      <c r="G52" s="132"/>
      <c r="K52" s="204"/>
      <c r="L52" s="204"/>
      <c r="M52" s="143" t="s">
        <v>257</v>
      </c>
      <c r="N52" s="144"/>
      <c r="O52" s="144"/>
      <c r="P52" s="144"/>
      <c r="Q52" s="144"/>
      <c r="R52" s="144"/>
    </row>
    <row r="53" spans="2:18" x14ac:dyDescent="0.25">
      <c r="B53" s="132"/>
      <c r="C53" s="131"/>
      <c r="D53" s="132"/>
      <c r="E53" s="132"/>
      <c r="F53" s="132"/>
      <c r="G53" s="132"/>
      <c r="K53" s="204"/>
      <c r="L53" s="204"/>
      <c r="M53" s="143" t="s">
        <v>258</v>
      </c>
      <c r="N53" s="144"/>
      <c r="O53" s="144"/>
      <c r="P53" s="144"/>
      <c r="Q53" s="144"/>
      <c r="R53" s="144"/>
    </row>
    <row r="54" spans="2:18" x14ac:dyDescent="0.25">
      <c r="B54" s="132"/>
      <c r="C54" s="131"/>
      <c r="D54" s="132"/>
      <c r="E54" s="132"/>
      <c r="F54" s="132"/>
      <c r="G54" s="132"/>
      <c r="K54" s="204"/>
      <c r="L54" s="204"/>
      <c r="M54" s="143" t="s">
        <v>259</v>
      </c>
      <c r="N54" s="144"/>
      <c r="O54" s="144"/>
      <c r="P54" s="144"/>
      <c r="Q54" s="144"/>
      <c r="R54" s="144"/>
    </row>
    <row r="55" spans="2:18" x14ac:dyDescent="0.25">
      <c r="B55" s="132"/>
      <c r="C55" s="131"/>
      <c r="D55" s="132"/>
      <c r="E55" s="132"/>
      <c r="F55" s="132"/>
      <c r="G55" s="132"/>
      <c r="K55" s="204"/>
      <c r="L55" s="204"/>
      <c r="M55" s="143" t="s">
        <v>260</v>
      </c>
      <c r="N55" s="144"/>
      <c r="O55" s="144"/>
      <c r="P55" s="144"/>
      <c r="Q55" s="144"/>
      <c r="R55" s="144"/>
    </row>
    <row r="56" spans="2:18" x14ac:dyDescent="0.25">
      <c r="B56" s="132"/>
      <c r="C56" s="131"/>
      <c r="D56" s="132"/>
      <c r="E56" s="132"/>
      <c r="F56" s="132"/>
      <c r="G56" s="173"/>
      <c r="K56" s="204"/>
      <c r="L56" s="204"/>
      <c r="M56" s="143" t="s">
        <v>261</v>
      </c>
      <c r="N56" s="144">
        <v>1</v>
      </c>
      <c r="O56" s="144"/>
      <c r="P56" s="144"/>
      <c r="Q56" s="144">
        <v>2768</v>
      </c>
      <c r="R56" s="144"/>
    </row>
    <row r="57" spans="2:18" x14ac:dyDescent="0.25">
      <c r="B57" s="132"/>
      <c r="C57" s="131"/>
      <c r="D57" s="132"/>
      <c r="E57" s="132"/>
      <c r="F57" s="132"/>
      <c r="G57" s="173"/>
      <c r="K57" s="204"/>
      <c r="L57" s="204"/>
      <c r="M57" s="143" t="s">
        <v>262</v>
      </c>
      <c r="N57" s="144"/>
      <c r="O57" s="144"/>
      <c r="P57" s="144"/>
      <c r="Q57" s="144"/>
      <c r="R57" s="144"/>
    </row>
    <row r="58" spans="2:18" x14ac:dyDescent="0.25">
      <c r="B58" s="132"/>
      <c r="C58" s="131" t="s">
        <v>190</v>
      </c>
      <c r="D58" s="132">
        <f>SUM(D48:D57)</f>
        <v>1800</v>
      </c>
      <c r="E58" s="132"/>
      <c r="F58" s="132"/>
      <c r="G58" s="173"/>
      <c r="K58" s="204"/>
      <c r="L58" s="204"/>
      <c r="M58" s="143" t="s">
        <v>263</v>
      </c>
      <c r="N58" s="144"/>
      <c r="O58" s="144"/>
      <c r="P58" s="144"/>
      <c r="Q58" s="144"/>
      <c r="R58" s="144"/>
    </row>
    <row r="59" spans="2:18" ht="18.75" x14ac:dyDescent="0.25">
      <c r="B59" s="210" t="s">
        <v>195</v>
      </c>
      <c r="C59" s="211"/>
      <c r="D59" s="211"/>
      <c r="E59" s="211"/>
      <c r="F59" s="211"/>
      <c r="G59" s="212"/>
      <c r="K59" s="204"/>
      <c r="L59" s="204"/>
      <c r="M59" s="143" t="s">
        <v>264</v>
      </c>
      <c r="N59" s="144"/>
      <c r="O59" s="144"/>
      <c r="P59" s="144"/>
      <c r="Q59" s="144"/>
      <c r="R59" s="144"/>
    </row>
    <row r="60" spans="2:18" ht="60" x14ac:dyDescent="0.25">
      <c r="B60" s="153" t="s">
        <v>184</v>
      </c>
      <c r="C60" s="153" t="s">
        <v>185</v>
      </c>
      <c r="D60" s="153" t="s">
        <v>186</v>
      </c>
      <c r="E60" s="127" t="s">
        <v>187</v>
      </c>
      <c r="F60" s="127" t="s">
        <v>188</v>
      </c>
      <c r="G60" s="153" t="s">
        <v>202</v>
      </c>
      <c r="K60" s="204"/>
      <c r="L60" s="204"/>
      <c r="M60" s="143" t="s">
        <v>265</v>
      </c>
      <c r="N60" s="144"/>
      <c r="O60" s="144"/>
      <c r="P60" s="144"/>
      <c r="Q60" s="144"/>
      <c r="R60" s="144"/>
    </row>
    <row r="61" spans="2:18" x14ac:dyDescent="0.25">
      <c r="B61" s="132">
        <v>1</v>
      </c>
      <c r="C61" s="131">
        <v>44585</v>
      </c>
      <c r="D61" s="132">
        <v>1620</v>
      </c>
      <c r="E61" s="132"/>
      <c r="F61" s="132"/>
      <c r="G61" s="132">
        <v>2767</v>
      </c>
      <c r="H61">
        <f>+D61/12</f>
        <v>135</v>
      </c>
      <c r="K61" s="204"/>
      <c r="L61" s="204"/>
      <c r="M61" s="143" t="s">
        <v>266</v>
      </c>
      <c r="N61" s="144"/>
      <c r="O61" s="144"/>
      <c r="P61" s="144"/>
      <c r="Q61" s="144"/>
      <c r="R61" s="144"/>
    </row>
    <row r="62" spans="2:18" x14ac:dyDescent="0.25">
      <c r="B62" s="132">
        <v>2</v>
      </c>
      <c r="C62" s="131">
        <v>45012</v>
      </c>
      <c r="D62" s="132">
        <v>924</v>
      </c>
      <c r="E62" s="132"/>
      <c r="F62" s="132"/>
      <c r="G62" s="132">
        <v>2787</v>
      </c>
      <c r="I62">
        <f>80*12</f>
        <v>960</v>
      </c>
      <c r="K62" s="204"/>
      <c r="L62" s="204"/>
      <c r="M62" s="143" t="s">
        <v>267</v>
      </c>
      <c r="N62" s="144"/>
      <c r="O62" s="144"/>
      <c r="P62" s="144"/>
      <c r="Q62" s="144"/>
      <c r="R62" s="144"/>
    </row>
    <row r="63" spans="2:18" x14ac:dyDescent="0.25">
      <c r="B63" s="132"/>
      <c r="C63" s="131"/>
      <c r="D63" s="132"/>
      <c r="E63" s="132"/>
      <c r="F63" s="132"/>
      <c r="G63" s="132"/>
      <c r="K63" s="204"/>
      <c r="L63" s="204"/>
      <c r="M63" s="143" t="s">
        <v>268</v>
      </c>
      <c r="N63" s="144"/>
      <c r="O63" s="144"/>
      <c r="P63" s="144"/>
      <c r="Q63" s="144"/>
      <c r="R63" s="144"/>
    </row>
    <row r="64" spans="2:18" x14ac:dyDescent="0.25">
      <c r="B64" s="132"/>
      <c r="C64" s="131"/>
      <c r="D64" s="132"/>
      <c r="E64" s="132"/>
      <c r="F64" s="132"/>
      <c r="G64" s="132"/>
      <c r="K64" s="204"/>
      <c r="L64" s="204"/>
      <c r="M64" s="143" t="s">
        <v>269</v>
      </c>
      <c r="N64" s="144"/>
      <c r="O64" s="144"/>
      <c r="P64" s="144"/>
      <c r="Q64" s="144"/>
      <c r="R64" s="144"/>
    </row>
    <row r="65" spans="2:18" x14ac:dyDescent="0.25">
      <c r="B65" s="132"/>
      <c r="C65" s="131"/>
      <c r="D65" s="132"/>
      <c r="E65" s="132"/>
      <c r="F65" s="132"/>
      <c r="G65" s="132"/>
      <c r="K65" s="204"/>
      <c r="L65" s="204"/>
      <c r="M65" s="143" t="s">
        <v>270</v>
      </c>
      <c r="N65" s="144"/>
      <c r="O65" s="144"/>
      <c r="P65" s="144"/>
      <c r="Q65" s="144"/>
      <c r="R65" s="144"/>
    </row>
    <row r="66" spans="2:18" x14ac:dyDescent="0.25">
      <c r="B66" s="132"/>
      <c r="C66" s="131"/>
      <c r="D66" s="132"/>
      <c r="E66" s="132"/>
      <c r="F66" s="132"/>
      <c r="G66" s="132"/>
      <c r="K66" s="204"/>
      <c r="L66" s="204"/>
      <c r="M66" s="143" t="s">
        <v>271</v>
      </c>
      <c r="N66" s="144"/>
      <c r="O66" s="144"/>
      <c r="P66" s="144"/>
      <c r="Q66" s="144"/>
      <c r="R66" s="144"/>
    </row>
    <row r="67" spans="2:18" x14ac:dyDescent="0.25">
      <c r="B67" s="132"/>
      <c r="C67" s="131"/>
      <c r="D67" s="132"/>
      <c r="E67" s="132"/>
      <c r="F67" s="132"/>
      <c r="G67" s="132"/>
      <c r="K67" s="204"/>
      <c r="L67" s="204"/>
      <c r="M67" s="143" t="s">
        <v>272</v>
      </c>
      <c r="N67" s="144"/>
      <c r="O67" s="144"/>
      <c r="P67" s="144"/>
      <c r="Q67" s="144"/>
      <c r="R67" s="144"/>
    </row>
    <row r="68" spans="2:18" x14ac:dyDescent="0.25">
      <c r="B68" s="132"/>
      <c r="C68" s="131" t="s">
        <v>190</v>
      </c>
      <c r="D68" s="132">
        <f>+SUM(D61:D67)</f>
        <v>2544</v>
      </c>
      <c r="E68" s="132"/>
      <c r="F68" s="132"/>
      <c r="G68" s="132"/>
      <c r="K68" s="204"/>
      <c r="L68" s="204"/>
      <c r="M68" s="143" t="s">
        <v>273</v>
      </c>
      <c r="N68" s="144"/>
      <c r="O68" s="144"/>
      <c r="P68" s="144"/>
      <c r="Q68" s="144"/>
      <c r="R68" s="144"/>
    </row>
    <row r="69" spans="2:18" ht="18.75" x14ac:dyDescent="0.25">
      <c r="B69" s="210" t="s">
        <v>196</v>
      </c>
      <c r="C69" s="211"/>
      <c r="D69" s="211"/>
      <c r="E69" s="211"/>
      <c r="F69" s="211"/>
      <c r="G69" s="212"/>
      <c r="K69" s="204"/>
      <c r="L69" s="204"/>
      <c r="M69" s="143" t="s">
        <v>274</v>
      </c>
      <c r="N69" s="144"/>
      <c r="O69" s="144"/>
      <c r="P69" s="144"/>
      <c r="Q69" s="144"/>
      <c r="R69" s="144"/>
    </row>
    <row r="70" spans="2:18" ht="60" x14ac:dyDescent="0.25">
      <c r="B70" s="153" t="s">
        <v>184</v>
      </c>
      <c r="C70" s="153" t="s">
        <v>185</v>
      </c>
      <c r="D70" s="153" t="s">
        <v>186</v>
      </c>
      <c r="E70" s="127" t="s">
        <v>187</v>
      </c>
      <c r="F70" s="127" t="s">
        <v>188</v>
      </c>
      <c r="G70" s="153" t="s">
        <v>202</v>
      </c>
      <c r="K70" s="204"/>
      <c r="L70" s="204"/>
      <c r="M70" s="143" t="s">
        <v>275</v>
      </c>
      <c r="N70" s="144"/>
      <c r="O70" s="144"/>
      <c r="P70" s="144"/>
      <c r="Q70" s="144"/>
      <c r="R70" s="144"/>
    </row>
    <row r="71" spans="2:18" x14ac:dyDescent="0.25">
      <c r="B71" s="132">
        <v>1</v>
      </c>
      <c r="C71" s="131">
        <v>44585</v>
      </c>
      <c r="D71" s="132">
        <v>180</v>
      </c>
      <c r="E71" s="132"/>
      <c r="F71" s="132"/>
      <c r="G71" s="132">
        <v>2767</v>
      </c>
      <c r="K71" s="204"/>
      <c r="L71" s="204"/>
      <c r="M71" s="143" t="s">
        <v>276</v>
      </c>
      <c r="N71" s="144"/>
      <c r="O71" s="144"/>
      <c r="P71" s="144"/>
      <c r="Q71" s="144"/>
      <c r="R71" s="144"/>
    </row>
    <row r="72" spans="2:18" x14ac:dyDescent="0.25">
      <c r="B72" s="132"/>
      <c r="C72" s="131"/>
      <c r="D72" s="132"/>
      <c r="E72" s="132"/>
      <c r="F72" s="132"/>
      <c r="G72" s="132"/>
      <c r="K72" s="204" t="s">
        <v>277</v>
      </c>
      <c r="L72" s="204"/>
      <c r="M72" s="143" t="s">
        <v>205</v>
      </c>
      <c r="N72" s="144"/>
      <c r="O72" s="144"/>
      <c r="P72" s="144"/>
      <c r="Q72" s="144"/>
      <c r="R72" s="144"/>
    </row>
    <row r="73" spans="2:18" x14ac:dyDescent="0.25">
      <c r="B73" s="132"/>
      <c r="C73" s="131"/>
      <c r="D73" s="132"/>
      <c r="E73" s="132"/>
      <c r="F73" s="132"/>
      <c r="G73" s="132"/>
      <c r="K73" s="204"/>
      <c r="L73" s="204"/>
      <c r="M73" s="143" t="s">
        <v>208</v>
      </c>
      <c r="N73" s="144"/>
      <c r="O73" s="144"/>
      <c r="P73" s="144"/>
      <c r="Q73" s="144"/>
      <c r="R73" s="144"/>
    </row>
    <row r="74" spans="2:18" x14ac:dyDescent="0.25">
      <c r="B74" s="132"/>
      <c r="C74" s="131"/>
      <c r="D74" s="132"/>
      <c r="E74" s="132"/>
      <c r="F74" s="132"/>
      <c r="G74" s="132"/>
      <c r="K74" s="204"/>
      <c r="L74" s="204"/>
      <c r="M74" s="143" t="s">
        <v>210</v>
      </c>
      <c r="N74" s="144"/>
      <c r="O74" s="144"/>
      <c r="P74" s="144"/>
      <c r="Q74" s="144"/>
      <c r="R74" s="144"/>
    </row>
    <row r="75" spans="2:18" x14ac:dyDescent="0.25">
      <c r="B75" s="132"/>
      <c r="C75" s="131"/>
      <c r="D75" s="132"/>
      <c r="E75" s="132"/>
      <c r="F75" s="132"/>
      <c r="G75" s="132"/>
      <c r="K75" s="204"/>
      <c r="L75" s="204"/>
      <c r="M75" s="143" t="s">
        <v>213</v>
      </c>
      <c r="N75" s="144"/>
      <c r="O75" s="144"/>
      <c r="P75" s="144"/>
      <c r="Q75" s="144"/>
      <c r="R75" s="144"/>
    </row>
    <row r="76" spans="2:18" x14ac:dyDescent="0.25">
      <c r="B76" s="132"/>
      <c r="C76" s="131"/>
      <c r="D76" s="132"/>
      <c r="E76" s="132"/>
      <c r="F76" s="132"/>
      <c r="G76" s="132"/>
      <c r="K76" s="204"/>
      <c r="L76" s="204"/>
      <c r="M76" s="143" t="s">
        <v>216</v>
      </c>
      <c r="N76" s="144"/>
      <c r="O76" s="144"/>
      <c r="P76" s="144"/>
      <c r="Q76" s="144"/>
      <c r="R76" s="144"/>
    </row>
    <row r="77" spans="2:18" x14ac:dyDescent="0.25">
      <c r="B77" s="132"/>
      <c r="C77" s="131"/>
      <c r="D77" s="132"/>
      <c r="E77" s="132"/>
      <c r="F77" s="132"/>
      <c r="G77" s="132"/>
      <c r="K77" s="204"/>
      <c r="L77" s="204"/>
      <c r="M77" s="143" t="s">
        <v>217</v>
      </c>
      <c r="N77" s="144">
        <f>2+1</f>
        <v>3</v>
      </c>
      <c r="O77" s="144">
        <f>1+1</f>
        <v>2</v>
      </c>
      <c r="P77" s="144"/>
      <c r="Q77" s="144" t="s">
        <v>427</v>
      </c>
      <c r="R77" s="144" t="s">
        <v>428</v>
      </c>
    </row>
    <row r="78" spans="2:18" x14ac:dyDescent="0.25">
      <c r="B78" s="132"/>
      <c r="C78" s="131" t="s">
        <v>190</v>
      </c>
      <c r="D78" s="144">
        <f>+SUM(D71:D77)</f>
        <v>180</v>
      </c>
      <c r="E78" s="132"/>
      <c r="F78" s="132"/>
      <c r="G78" s="132"/>
      <c r="K78" s="204"/>
      <c r="L78" s="204"/>
      <c r="M78" s="143" t="s">
        <v>218</v>
      </c>
      <c r="N78" s="144"/>
      <c r="O78" s="144"/>
      <c r="P78" s="144"/>
      <c r="Q78" s="144"/>
      <c r="R78" s="144"/>
    </row>
    <row r="79" spans="2:18" x14ac:dyDescent="0.25">
      <c r="K79" s="204"/>
      <c r="L79" s="204"/>
      <c r="M79" s="143" t="s">
        <v>219</v>
      </c>
      <c r="N79" s="144"/>
      <c r="O79" s="144"/>
      <c r="P79" s="144"/>
      <c r="Q79" s="144"/>
      <c r="R79" s="144"/>
    </row>
    <row r="80" spans="2:18" x14ac:dyDescent="0.25">
      <c r="K80" s="204"/>
      <c r="L80" s="204"/>
      <c r="M80" s="143" t="s">
        <v>220</v>
      </c>
      <c r="N80" s="144"/>
      <c r="O80" s="144"/>
      <c r="P80" s="144"/>
      <c r="Q80" s="144"/>
      <c r="R80" s="144"/>
    </row>
    <row r="81" spans="11:18" x14ac:dyDescent="0.25">
      <c r="K81" s="204" t="s">
        <v>278</v>
      </c>
      <c r="L81" s="204"/>
      <c r="M81" s="143" t="s">
        <v>279</v>
      </c>
      <c r="N81" s="144">
        <f>1+4</f>
        <v>5</v>
      </c>
      <c r="O81" s="144"/>
      <c r="P81" s="144"/>
      <c r="Q81" s="144" t="s">
        <v>429</v>
      </c>
      <c r="R81" s="144"/>
    </row>
    <row r="82" spans="11:18" x14ac:dyDescent="0.25">
      <c r="K82" s="204"/>
      <c r="L82" s="204"/>
      <c r="M82" s="143" t="s">
        <v>282</v>
      </c>
      <c r="N82" s="144">
        <f>10+4</f>
        <v>14</v>
      </c>
      <c r="O82" s="144"/>
      <c r="P82" s="144"/>
      <c r="Q82" s="144" t="s">
        <v>430</v>
      </c>
      <c r="R82" s="144"/>
    </row>
    <row r="83" spans="11:18" x14ac:dyDescent="0.25">
      <c r="K83" s="204"/>
      <c r="L83" s="204"/>
      <c r="M83" s="143" t="s">
        <v>285</v>
      </c>
      <c r="N83" s="144">
        <v>3</v>
      </c>
      <c r="O83" s="144"/>
      <c r="P83" s="144"/>
      <c r="Q83" s="144">
        <v>2781</v>
      </c>
      <c r="R83" s="144"/>
    </row>
    <row r="84" spans="11:18" x14ac:dyDescent="0.25">
      <c r="K84" s="204"/>
      <c r="L84" s="204"/>
      <c r="M84" s="143" t="s">
        <v>288</v>
      </c>
      <c r="N84" s="144">
        <v>10</v>
      </c>
      <c r="O84" s="144"/>
      <c r="P84" s="144"/>
      <c r="Q84" s="144">
        <v>2768</v>
      </c>
      <c r="R84" s="144"/>
    </row>
    <row r="85" spans="11:18" x14ac:dyDescent="0.25">
      <c r="K85" s="204"/>
      <c r="L85" s="204"/>
      <c r="M85" s="143" t="s">
        <v>290</v>
      </c>
      <c r="N85" s="144"/>
      <c r="O85" s="144"/>
      <c r="P85" s="144"/>
      <c r="Q85" s="144"/>
      <c r="R85" s="144"/>
    </row>
    <row r="86" spans="11:18" x14ac:dyDescent="0.25">
      <c r="K86" s="204"/>
      <c r="L86" s="204"/>
      <c r="M86" s="143" t="s">
        <v>293</v>
      </c>
      <c r="N86" s="144">
        <f>2+2</f>
        <v>4</v>
      </c>
      <c r="O86" s="144"/>
      <c r="P86" s="144"/>
      <c r="Q86" s="144" t="s">
        <v>431</v>
      </c>
      <c r="R86" s="144"/>
    </row>
    <row r="87" spans="11:18" x14ac:dyDescent="0.25">
      <c r="K87" s="204"/>
      <c r="L87" s="204"/>
      <c r="M87" s="143" t="s">
        <v>296</v>
      </c>
      <c r="N87" s="144"/>
      <c r="O87" s="144"/>
      <c r="P87" s="144"/>
      <c r="Q87" s="144"/>
      <c r="R87" s="144"/>
    </row>
    <row r="88" spans="11:18" x14ac:dyDescent="0.25">
      <c r="K88" s="204"/>
      <c r="L88" s="204"/>
      <c r="M88" s="143" t="s">
        <v>297</v>
      </c>
      <c r="N88" s="144"/>
      <c r="O88" s="144"/>
      <c r="P88" s="144"/>
      <c r="Q88" s="144"/>
      <c r="R88" s="144"/>
    </row>
    <row r="89" spans="11:18" x14ac:dyDescent="0.25">
      <c r="K89" s="204"/>
      <c r="L89" s="204"/>
      <c r="M89" s="143" t="s">
        <v>298</v>
      </c>
      <c r="N89" s="144"/>
      <c r="O89" s="144"/>
      <c r="P89" s="144"/>
      <c r="Q89" s="144"/>
      <c r="R89" s="144"/>
    </row>
    <row r="90" spans="11:18" x14ac:dyDescent="0.25">
      <c r="K90" s="204"/>
      <c r="L90" s="204"/>
      <c r="M90" s="143" t="s">
        <v>300</v>
      </c>
      <c r="N90" s="144">
        <v>1</v>
      </c>
      <c r="O90" s="144"/>
      <c r="P90" s="144"/>
      <c r="Q90" s="144">
        <v>2768</v>
      </c>
      <c r="R90" s="144"/>
    </row>
    <row r="91" spans="11:18" x14ac:dyDescent="0.25">
      <c r="K91" s="204"/>
      <c r="L91" s="204"/>
      <c r="M91" s="143" t="s">
        <v>246</v>
      </c>
      <c r="N91" s="144">
        <f>1+1+1</f>
        <v>3</v>
      </c>
      <c r="O91" s="144">
        <v>1</v>
      </c>
      <c r="P91" s="144"/>
      <c r="Q91" s="144" t="s">
        <v>432</v>
      </c>
      <c r="R91" s="144" t="s">
        <v>433</v>
      </c>
    </row>
    <row r="92" spans="11:18" x14ac:dyDescent="0.25">
      <c r="K92" s="204"/>
      <c r="L92" s="204"/>
      <c r="M92" s="143" t="s">
        <v>249</v>
      </c>
      <c r="N92" s="144">
        <f>2+2+3+1</f>
        <v>8</v>
      </c>
      <c r="O92" s="144"/>
      <c r="P92" s="144"/>
      <c r="Q92" s="144" t="s">
        <v>432</v>
      </c>
      <c r="R92" s="144"/>
    </row>
    <row r="93" spans="11:18" x14ac:dyDescent="0.25">
      <c r="K93" s="204"/>
      <c r="L93" s="204"/>
      <c r="M93" s="143" t="s">
        <v>252</v>
      </c>
      <c r="N93" s="144">
        <f>1+1+1</f>
        <v>3</v>
      </c>
      <c r="O93" s="144">
        <v>1</v>
      </c>
      <c r="P93" s="144"/>
      <c r="Q93" s="145" t="s">
        <v>434</v>
      </c>
      <c r="R93" s="144" t="s">
        <v>435</v>
      </c>
    </row>
    <row r="94" spans="11:18" x14ac:dyDescent="0.25">
      <c r="K94" s="204"/>
      <c r="L94" s="204"/>
      <c r="M94" s="143" t="s">
        <v>254</v>
      </c>
      <c r="N94" s="144">
        <f>1+1</f>
        <v>2</v>
      </c>
      <c r="O94" s="144"/>
      <c r="P94" s="144"/>
      <c r="Q94" s="144">
        <v>18</v>
      </c>
      <c r="R94" s="144"/>
    </row>
    <row r="95" spans="11:18" x14ac:dyDescent="0.25">
      <c r="K95" s="204"/>
      <c r="L95" s="204"/>
      <c r="M95" s="143" t="s">
        <v>301</v>
      </c>
      <c r="N95" s="144">
        <v>1</v>
      </c>
      <c r="O95" s="144"/>
      <c r="P95" s="144"/>
      <c r="Q95" s="144" t="s">
        <v>436</v>
      </c>
      <c r="R95" s="144"/>
    </row>
    <row r="96" spans="11:18" x14ac:dyDescent="0.25">
      <c r="K96" s="204"/>
      <c r="L96" s="204"/>
      <c r="M96" s="143" t="s">
        <v>258</v>
      </c>
      <c r="N96" s="144">
        <v>6</v>
      </c>
      <c r="O96" s="144"/>
      <c r="P96" s="144"/>
      <c r="Q96" s="144">
        <v>2767</v>
      </c>
      <c r="R96" s="144"/>
    </row>
    <row r="97" spans="11:18" x14ac:dyDescent="0.25">
      <c r="K97" s="204"/>
      <c r="L97" s="204"/>
      <c r="M97" s="143" t="s">
        <v>259</v>
      </c>
      <c r="N97" s="144"/>
      <c r="O97" s="144"/>
      <c r="P97" s="144"/>
      <c r="Q97" s="144"/>
      <c r="R97" s="144"/>
    </row>
    <row r="98" spans="11:18" x14ac:dyDescent="0.25">
      <c r="K98" s="204"/>
      <c r="L98" s="204"/>
      <c r="M98" s="143" t="s">
        <v>260</v>
      </c>
      <c r="N98" s="144"/>
      <c r="O98" s="144"/>
      <c r="P98" s="144"/>
      <c r="Q98" s="144"/>
      <c r="R98" s="144"/>
    </row>
    <row r="99" spans="11:18" x14ac:dyDescent="0.25">
      <c r="K99" s="204"/>
      <c r="L99" s="204"/>
      <c r="M99" s="143" t="s">
        <v>303</v>
      </c>
      <c r="N99" s="144"/>
      <c r="O99" s="144"/>
      <c r="P99" s="144"/>
      <c r="Q99" s="144"/>
      <c r="R99" s="144"/>
    </row>
    <row r="100" spans="11:18" x14ac:dyDescent="0.25">
      <c r="K100" s="204"/>
      <c r="L100" s="204"/>
      <c r="M100" s="143" t="s">
        <v>304</v>
      </c>
      <c r="N100" s="144"/>
      <c r="O100" s="144"/>
      <c r="P100" s="144"/>
      <c r="Q100" s="144"/>
      <c r="R100" s="144"/>
    </row>
    <row r="101" spans="11:18" x14ac:dyDescent="0.25">
      <c r="K101" s="204"/>
      <c r="L101" s="204"/>
      <c r="M101" s="143" t="s">
        <v>305</v>
      </c>
      <c r="N101" s="144">
        <f>2+1+1</f>
        <v>4</v>
      </c>
      <c r="O101" s="144"/>
      <c r="P101" s="144"/>
      <c r="Q101" s="145" t="s">
        <v>437</v>
      </c>
      <c r="R101" s="144"/>
    </row>
    <row r="102" spans="11:18" x14ac:dyDescent="0.25">
      <c r="K102" s="204"/>
      <c r="L102" s="204"/>
      <c r="M102" s="143" t="s">
        <v>306</v>
      </c>
      <c r="N102" s="144"/>
      <c r="O102" s="144"/>
      <c r="P102" s="144"/>
      <c r="Q102" s="144"/>
      <c r="R102" s="144"/>
    </row>
    <row r="103" spans="11:18" x14ac:dyDescent="0.25">
      <c r="K103" s="204"/>
      <c r="L103" s="204"/>
      <c r="M103" s="143" t="s">
        <v>307</v>
      </c>
      <c r="N103" s="144"/>
      <c r="O103" s="144"/>
      <c r="P103" s="144"/>
      <c r="Q103" s="144"/>
      <c r="R103" s="144"/>
    </row>
    <row r="104" spans="11:18" x14ac:dyDescent="0.25">
      <c r="K104" s="204"/>
      <c r="L104" s="204"/>
      <c r="M104" s="143" t="s">
        <v>308</v>
      </c>
      <c r="N104" s="144"/>
      <c r="O104" s="144"/>
      <c r="P104" s="144"/>
      <c r="Q104" s="144"/>
      <c r="R104" s="144"/>
    </row>
    <row r="105" spans="11:18" x14ac:dyDescent="0.25">
      <c r="K105" s="204"/>
      <c r="L105" s="204"/>
      <c r="M105" s="143" t="s">
        <v>309</v>
      </c>
      <c r="N105" s="144"/>
      <c r="O105" s="144"/>
      <c r="P105" s="144"/>
      <c r="Q105" s="144"/>
      <c r="R105" s="144"/>
    </row>
    <row r="106" spans="11:18" x14ac:dyDescent="0.25">
      <c r="K106" s="204"/>
      <c r="L106" s="204"/>
      <c r="M106" s="143" t="s">
        <v>310</v>
      </c>
      <c r="N106" s="144"/>
      <c r="O106" s="144"/>
      <c r="P106" s="144"/>
      <c r="Q106" s="144"/>
      <c r="R106" s="144"/>
    </row>
    <row r="107" spans="11:18" x14ac:dyDescent="0.25">
      <c r="K107" s="204"/>
      <c r="L107" s="204"/>
      <c r="M107" s="143" t="s">
        <v>311</v>
      </c>
      <c r="N107" s="144"/>
      <c r="O107" s="144"/>
      <c r="P107" s="144"/>
      <c r="Q107" s="144"/>
      <c r="R107" s="144"/>
    </row>
    <row r="108" spans="11:18" x14ac:dyDescent="0.25">
      <c r="K108" s="204"/>
      <c r="L108" s="204"/>
      <c r="M108" s="143" t="s">
        <v>312</v>
      </c>
      <c r="N108" s="144"/>
      <c r="O108" s="144"/>
      <c r="P108" s="144"/>
      <c r="Q108" s="144"/>
      <c r="R108" s="144"/>
    </row>
    <row r="109" spans="11:18" x14ac:dyDescent="0.25">
      <c r="K109" s="204"/>
      <c r="L109" s="204"/>
      <c r="M109" s="143" t="s">
        <v>313</v>
      </c>
      <c r="N109" s="144"/>
      <c r="O109" s="144"/>
      <c r="P109" s="144"/>
      <c r="Q109" s="144"/>
      <c r="R109" s="144"/>
    </row>
    <row r="110" spans="11:18" x14ac:dyDescent="0.25">
      <c r="K110" s="204"/>
      <c r="L110" s="204"/>
      <c r="M110" s="143" t="s">
        <v>314</v>
      </c>
      <c r="N110" s="144"/>
      <c r="O110" s="144"/>
      <c r="P110" s="144"/>
      <c r="Q110" s="144"/>
      <c r="R110" s="144"/>
    </row>
    <row r="111" spans="11:18" x14ac:dyDescent="0.25">
      <c r="K111" s="204"/>
      <c r="L111" s="204"/>
      <c r="M111" s="143" t="s">
        <v>315</v>
      </c>
      <c r="N111" s="144"/>
      <c r="O111" s="144"/>
      <c r="P111" s="144"/>
      <c r="Q111" s="144"/>
      <c r="R111" s="144"/>
    </row>
    <row r="112" spans="11:18" x14ac:dyDescent="0.25">
      <c r="K112" s="204"/>
      <c r="L112" s="204"/>
      <c r="M112" s="143" t="s">
        <v>316</v>
      </c>
      <c r="N112" s="144"/>
      <c r="O112" s="144"/>
      <c r="P112" s="144"/>
      <c r="Q112" s="144"/>
      <c r="R112" s="144"/>
    </row>
    <row r="113" spans="11:18" x14ac:dyDescent="0.25">
      <c r="K113" s="204"/>
      <c r="L113" s="204"/>
      <c r="M113" s="143" t="s">
        <v>317</v>
      </c>
      <c r="N113" s="144"/>
      <c r="O113" s="144"/>
      <c r="P113" s="144"/>
      <c r="Q113" s="144"/>
      <c r="R113" s="144"/>
    </row>
    <row r="114" spans="11:18" x14ac:dyDescent="0.25">
      <c r="K114" s="204"/>
      <c r="L114" s="204"/>
      <c r="M114" s="143" t="s">
        <v>318</v>
      </c>
      <c r="N114" s="144"/>
      <c r="O114" s="144"/>
      <c r="P114" s="144"/>
      <c r="Q114" s="144"/>
      <c r="R114" s="144"/>
    </row>
    <row r="115" spans="11:18" x14ac:dyDescent="0.25">
      <c r="K115" s="204" t="s">
        <v>319</v>
      </c>
      <c r="L115" s="204"/>
      <c r="M115" s="143" t="s">
        <v>205</v>
      </c>
      <c r="N115" s="144">
        <f>20+10</f>
        <v>30</v>
      </c>
      <c r="O115" s="144"/>
      <c r="P115" s="144"/>
      <c r="Q115" s="144" t="s">
        <v>438</v>
      </c>
      <c r="R115" s="144"/>
    </row>
    <row r="116" spans="11:18" x14ac:dyDescent="0.25">
      <c r="K116" s="204"/>
      <c r="L116" s="204"/>
      <c r="M116" s="143" t="s">
        <v>208</v>
      </c>
      <c r="N116" s="144"/>
      <c r="O116" s="144"/>
      <c r="P116" s="144"/>
      <c r="Q116" s="144"/>
      <c r="R116" s="144"/>
    </row>
    <row r="117" spans="11:18" x14ac:dyDescent="0.25">
      <c r="K117" s="204"/>
      <c r="L117" s="204"/>
      <c r="M117" s="143" t="s">
        <v>210</v>
      </c>
      <c r="N117" s="144"/>
      <c r="O117" s="144"/>
      <c r="P117" s="144"/>
      <c r="Q117" s="144"/>
      <c r="R117" s="144"/>
    </row>
    <row r="118" spans="11:18" x14ac:dyDescent="0.25">
      <c r="K118" s="204"/>
      <c r="L118" s="204"/>
      <c r="M118" s="143" t="s">
        <v>213</v>
      </c>
      <c r="N118" s="144"/>
      <c r="O118" s="144"/>
      <c r="P118" s="144"/>
      <c r="Q118" s="144"/>
      <c r="R118" s="144"/>
    </row>
    <row r="119" spans="11:18" x14ac:dyDescent="0.25">
      <c r="K119" s="204"/>
      <c r="L119" s="204"/>
      <c r="M119" s="143" t="s">
        <v>216</v>
      </c>
      <c r="N119" s="144"/>
      <c r="O119" s="144"/>
      <c r="P119" s="144"/>
      <c r="Q119" s="144"/>
      <c r="R119" s="144"/>
    </row>
    <row r="120" spans="11:18" x14ac:dyDescent="0.25">
      <c r="K120" s="204"/>
      <c r="L120" s="204"/>
      <c r="M120" s="143" t="s">
        <v>217</v>
      </c>
      <c r="N120" s="144"/>
      <c r="O120" s="144"/>
      <c r="P120" s="144"/>
      <c r="Q120" s="144"/>
      <c r="R120" s="144"/>
    </row>
    <row r="121" spans="11:18" x14ac:dyDescent="0.25">
      <c r="K121" s="204"/>
      <c r="L121" s="204"/>
      <c r="M121" s="143" t="s">
        <v>218</v>
      </c>
      <c r="N121" s="144"/>
      <c r="O121" s="144"/>
      <c r="P121" s="144"/>
      <c r="Q121" s="144"/>
      <c r="R121" s="144"/>
    </row>
    <row r="122" spans="11:18" x14ac:dyDescent="0.25">
      <c r="K122" s="204" t="s">
        <v>323</v>
      </c>
      <c r="L122" s="204" t="s">
        <v>205</v>
      </c>
      <c r="M122" s="143" t="s">
        <v>324</v>
      </c>
      <c r="N122" s="144"/>
      <c r="O122" s="144"/>
      <c r="P122" s="144"/>
      <c r="Q122" s="144"/>
      <c r="R122" s="144"/>
    </row>
    <row r="123" spans="11:18" x14ac:dyDescent="0.25">
      <c r="K123" s="204"/>
      <c r="L123" s="204"/>
      <c r="M123" s="143" t="s">
        <v>325</v>
      </c>
      <c r="N123" s="144"/>
      <c r="O123" s="144"/>
      <c r="P123" s="144"/>
      <c r="Q123" s="144"/>
      <c r="R123" s="144"/>
    </row>
    <row r="124" spans="11:18" x14ac:dyDescent="0.25">
      <c r="K124" s="204"/>
      <c r="L124" s="204" t="s">
        <v>208</v>
      </c>
      <c r="M124" s="143" t="s">
        <v>324</v>
      </c>
      <c r="N124" s="144"/>
      <c r="O124" s="144"/>
      <c r="P124" s="144"/>
      <c r="Q124" s="144"/>
      <c r="R124" s="144"/>
    </row>
    <row r="125" spans="11:18" x14ac:dyDescent="0.25">
      <c r="K125" s="204"/>
      <c r="L125" s="204"/>
      <c r="M125" s="143" t="s">
        <v>325</v>
      </c>
      <c r="N125" s="144"/>
      <c r="O125" s="144"/>
      <c r="P125" s="144"/>
      <c r="Q125" s="144"/>
      <c r="R125" s="144"/>
    </row>
    <row r="126" spans="11:18" x14ac:dyDescent="0.25">
      <c r="K126" s="204"/>
      <c r="L126" s="204" t="s">
        <v>210</v>
      </c>
      <c r="M126" s="143" t="s">
        <v>324</v>
      </c>
      <c r="N126" s="144"/>
      <c r="O126" s="144"/>
      <c r="P126" s="144"/>
      <c r="Q126" s="144"/>
      <c r="R126" s="144"/>
    </row>
    <row r="127" spans="11:18" x14ac:dyDescent="0.25">
      <c r="K127" s="204"/>
      <c r="L127" s="204"/>
      <c r="M127" s="143" t="s">
        <v>325</v>
      </c>
      <c r="N127" s="144"/>
      <c r="O127" s="144"/>
      <c r="P127" s="144"/>
      <c r="Q127" s="144"/>
      <c r="R127" s="144"/>
    </row>
    <row r="128" spans="11:18" x14ac:dyDescent="0.25">
      <c r="K128" s="204"/>
      <c r="L128" s="204" t="s">
        <v>213</v>
      </c>
      <c r="M128" s="143" t="s">
        <v>324</v>
      </c>
      <c r="N128" s="144"/>
      <c r="O128" s="144"/>
      <c r="P128" s="144"/>
      <c r="Q128" s="144"/>
      <c r="R128" s="144"/>
    </row>
    <row r="129" spans="11:18" x14ac:dyDescent="0.25">
      <c r="K129" s="204"/>
      <c r="L129" s="204"/>
      <c r="M129" s="143" t="s">
        <v>325</v>
      </c>
      <c r="N129" s="144"/>
      <c r="O129" s="144"/>
      <c r="P129" s="144"/>
      <c r="Q129" s="144"/>
      <c r="R129" s="144"/>
    </row>
    <row r="130" spans="11:18" x14ac:dyDescent="0.25">
      <c r="K130" s="204"/>
      <c r="L130" s="204" t="s">
        <v>216</v>
      </c>
      <c r="M130" s="143" t="s">
        <v>324</v>
      </c>
      <c r="N130" s="144"/>
      <c r="O130" s="144"/>
      <c r="P130" s="144"/>
      <c r="Q130" s="144"/>
      <c r="R130" s="144"/>
    </row>
    <row r="131" spans="11:18" x14ac:dyDescent="0.25">
      <c r="K131" s="204"/>
      <c r="L131" s="204"/>
      <c r="M131" s="143" t="s">
        <v>325</v>
      </c>
      <c r="N131" s="144"/>
      <c r="O131" s="144"/>
      <c r="P131" s="144"/>
      <c r="Q131" s="144"/>
      <c r="R131" s="144"/>
    </row>
    <row r="132" spans="11:18" x14ac:dyDescent="0.25">
      <c r="K132" s="204"/>
      <c r="L132" s="204" t="s">
        <v>217</v>
      </c>
      <c r="M132" s="143" t="s">
        <v>324</v>
      </c>
      <c r="N132" s="144"/>
      <c r="O132" s="144"/>
      <c r="P132" s="144"/>
      <c r="Q132" s="144"/>
      <c r="R132" s="144"/>
    </row>
    <row r="133" spans="11:18" x14ac:dyDescent="0.25">
      <c r="K133" s="204"/>
      <c r="L133" s="204"/>
      <c r="M133" s="143" t="s">
        <v>325</v>
      </c>
      <c r="N133" s="137"/>
      <c r="O133" s="114"/>
      <c r="P133" s="114"/>
      <c r="Q133" s="114"/>
      <c r="R133" s="114"/>
    </row>
    <row r="134" spans="11:18" x14ac:dyDescent="0.25">
      <c r="K134" s="204"/>
      <c r="L134" s="204" t="s">
        <v>218</v>
      </c>
      <c r="M134" s="143" t="s">
        <v>324</v>
      </c>
      <c r="N134" s="137"/>
      <c r="O134" s="114"/>
      <c r="P134" s="114"/>
      <c r="Q134" s="114"/>
      <c r="R134" s="114"/>
    </row>
    <row r="135" spans="11:18" x14ac:dyDescent="0.25">
      <c r="K135" s="204"/>
      <c r="L135" s="204"/>
      <c r="M135" s="143" t="s">
        <v>325</v>
      </c>
      <c r="N135" s="137"/>
      <c r="O135" s="114"/>
      <c r="P135" s="114"/>
      <c r="Q135" s="114"/>
      <c r="R135" s="114"/>
    </row>
    <row r="136" spans="11:18" x14ac:dyDescent="0.25">
      <c r="K136" s="204"/>
      <c r="L136" s="204" t="s">
        <v>219</v>
      </c>
      <c r="M136" s="143" t="s">
        <v>324</v>
      </c>
      <c r="N136" s="137"/>
      <c r="O136" s="114"/>
      <c r="P136" s="114"/>
      <c r="Q136" s="114"/>
      <c r="R136" s="114"/>
    </row>
    <row r="137" spans="11:18" x14ac:dyDescent="0.25">
      <c r="K137" s="204"/>
      <c r="L137" s="204"/>
      <c r="M137" s="143" t="s">
        <v>325</v>
      </c>
      <c r="N137" s="137"/>
      <c r="O137" s="114"/>
      <c r="P137" s="114"/>
      <c r="Q137" s="114"/>
      <c r="R137" s="114"/>
    </row>
    <row r="138" spans="11:18" x14ac:dyDescent="0.25">
      <c r="K138" s="204"/>
      <c r="L138" s="204" t="s">
        <v>220</v>
      </c>
      <c r="M138" s="143" t="s">
        <v>324</v>
      </c>
      <c r="N138" s="137"/>
      <c r="O138" s="114"/>
      <c r="P138" s="114"/>
      <c r="Q138" s="114"/>
      <c r="R138" s="114"/>
    </row>
    <row r="139" spans="11:18" x14ac:dyDescent="0.25">
      <c r="K139" s="204"/>
      <c r="L139" s="204"/>
      <c r="M139" s="143" t="s">
        <v>325</v>
      </c>
      <c r="N139" s="137"/>
      <c r="O139" s="114"/>
      <c r="P139" s="114"/>
      <c r="Q139" s="114"/>
      <c r="R139" s="114"/>
    </row>
    <row r="140" spans="11:18" x14ac:dyDescent="0.25">
      <c r="K140" s="204" t="s">
        <v>328</v>
      </c>
      <c r="L140" s="204"/>
      <c r="M140" s="143" t="s">
        <v>329</v>
      </c>
      <c r="N140" s="137"/>
      <c r="O140" s="114"/>
      <c r="P140" s="114"/>
      <c r="Q140" s="114"/>
      <c r="R140" s="114"/>
    </row>
    <row r="141" spans="11:18" x14ac:dyDescent="0.25">
      <c r="K141" s="204"/>
      <c r="L141" s="204"/>
      <c r="M141" s="143" t="s">
        <v>205</v>
      </c>
      <c r="N141" s="137"/>
      <c r="O141" s="114"/>
      <c r="P141" s="114"/>
      <c r="Q141" s="114"/>
      <c r="R141" s="114"/>
    </row>
    <row r="142" spans="11:18" x14ac:dyDescent="0.25">
      <c r="K142" s="204"/>
      <c r="L142" s="204"/>
      <c r="M142" s="143" t="s">
        <v>208</v>
      </c>
      <c r="N142" s="137"/>
      <c r="O142" s="114"/>
      <c r="P142" s="114"/>
      <c r="Q142" s="114"/>
      <c r="R142" s="114"/>
    </row>
    <row r="143" spans="11:18" x14ac:dyDescent="0.25">
      <c r="K143" s="204"/>
      <c r="L143" s="204"/>
      <c r="M143" s="143" t="s">
        <v>210</v>
      </c>
      <c r="N143" s="137"/>
      <c r="O143" s="114"/>
      <c r="P143" s="114"/>
      <c r="Q143" s="114"/>
      <c r="R143" s="114"/>
    </row>
    <row r="144" spans="11:18" x14ac:dyDescent="0.25">
      <c r="K144" s="204"/>
      <c r="L144" s="204"/>
      <c r="M144" s="143" t="s">
        <v>213</v>
      </c>
      <c r="N144" s="137"/>
      <c r="O144" s="114"/>
      <c r="P144" s="114"/>
      <c r="Q144" s="114"/>
      <c r="R144" s="114"/>
    </row>
    <row r="145" spans="11:18" x14ac:dyDescent="0.25">
      <c r="K145" s="204"/>
      <c r="L145" s="204"/>
      <c r="M145" s="143" t="s">
        <v>216</v>
      </c>
      <c r="N145" s="114"/>
      <c r="O145" s="114"/>
      <c r="P145" s="114"/>
      <c r="Q145" s="114"/>
      <c r="R145" s="114"/>
    </row>
    <row r="146" spans="11:18" x14ac:dyDescent="0.25">
      <c r="K146" s="204"/>
      <c r="L146" s="204"/>
      <c r="M146" s="143" t="s">
        <v>217</v>
      </c>
      <c r="N146" s="114"/>
      <c r="O146" s="114"/>
      <c r="P146" s="114"/>
      <c r="Q146" s="114"/>
      <c r="R146" s="114"/>
    </row>
    <row r="147" spans="11:18" x14ac:dyDescent="0.25">
      <c r="K147" s="204"/>
      <c r="L147" s="204"/>
      <c r="M147" s="143" t="s">
        <v>218</v>
      </c>
      <c r="N147" s="114"/>
      <c r="O147" s="114"/>
      <c r="P147" s="114"/>
      <c r="Q147" s="114"/>
      <c r="R147" s="114"/>
    </row>
    <row r="148" spans="11:18" x14ac:dyDescent="0.25">
      <c r="K148" s="204"/>
      <c r="L148" s="204"/>
      <c r="M148" s="143" t="s">
        <v>219</v>
      </c>
      <c r="N148" s="114"/>
      <c r="O148" s="114"/>
      <c r="P148" s="114"/>
      <c r="Q148" s="114"/>
      <c r="R148" s="114"/>
    </row>
    <row r="149" spans="11:18" x14ac:dyDescent="0.25">
      <c r="K149" s="204" t="s">
        <v>330</v>
      </c>
      <c r="L149" s="204"/>
      <c r="M149" s="143" t="s">
        <v>329</v>
      </c>
      <c r="N149" s="114"/>
      <c r="O149" s="114"/>
      <c r="P149" s="114"/>
      <c r="Q149" s="114"/>
      <c r="R149" s="114"/>
    </row>
    <row r="150" spans="11:18" x14ac:dyDescent="0.25">
      <c r="K150" s="204"/>
      <c r="L150" s="204"/>
      <c r="M150" s="143" t="s">
        <v>205</v>
      </c>
      <c r="N150" s="114"/>
      <c r="O150" s="114"/>
      <c r="P150" s="114"/>
      <c r="Q150" s="114"/>
      <c r="R150" s="114"/>
    </row>
    <row r="151" spans="11:18" x14ac:dyDescent="0.25">
      <c r="K151" s="204"/>
      <c r="L151" s="204"/>
      <c r="M151" s="143" t="s">
        <v>208</v>
      </c>
      <c r="N151" s="114"/>
      <c r="O151" s="114"/>
      <c r="P151" s="114"/>
      <c r="Q151" s="114"/>
      <c r="R151" s="114"/>
    </row>
    <row r="152" spans="11:18" x14ac:dyDescent="0.25">
      <c r="K152" s="204"/>
      <c r="L152" s="204"/>
      <c r="M152" s="143" t="s">
        <v>210</v>
      </c>
      <c r="N152" s="114"/>
      <c r="O152" s="114"/>
      <c r="P152" s="114"/>
      <c r="Q152" s="114"/>
      <c r="R152" s="114"/>
    </row>
    <row r="153" spans="11:18" x14ac:dyDescent="0.25">
      <c r="K153" s="204"/>
      <c r="L153" s="204"/>
      <c r="M153" s="143" t="s">
        <v>213</v>
      </c>
      <c r="N153" s="114"/>
      <c r="O153" s="114"/>
      <c r="P153" s="114"/>
      <c r="Q153" s="114"/>
      <c r="R153" s="114"/>
    </row>
    <row r="154" spans="11:18" x14ac:dyDescent="0.25">
      <c r="K154" s="204"/>
      <c r="L154" s="204"/>
      <c r="M154" s="143" t="s">
        <v>216</v>
      </c>
      <c r="N154" s="114"/>
      <c r="O154" s="114"/>
      <c r="P154" s="114"/>
      <c r="Q154" s="114"/>
      <c r="R154" s="114"/>
    </row>
    <row r="155" spans="11:18" x14ac:dyDescent="0.25">
      <c r="K155" s="204"/>
      <c r="L155" s="204"/>
      <c r="M155" s="143" t="s">
        <v>217</v>
      </c>
      <c r="N155" s="114"/>
      <c r="O155" s="114"/>
      <c r="P155" s="114"/>
      <c r="Q155" s="114"/>
      <c r="R155" s="114"/>
    </row>
    <row r="156" spans="11:18" x14ac:dyDescent="0.25">
      <c r="K156" s="204"/>
      <c r="L156" s="204"/>
      <c r="M156" s="143" t="s">
        <v>218</v>
      </c>
      <c r="N156" s="114"/>
      <c r="O156" s="114"/>
      <c r="P156" s="114"/>
      <c r="Q156" s="114"/>
      <c r="R156" s="114"/>
    </row>
    <row r="157" spans="11:18" x14ac:dyDescent="0.25">
      <c r="K157" s="204"/>
      <c r="L157" s="204"/>
      <c r="M157" s="143" t="s">
        <v>219</v>
      </c>
      <c r="N157" s="114"/>
      <c r="O157" s="114"/>
      <c r="P157" s="114"/>
      <c r="Q157" s="114"/>
      <c r="R157" s="114"/>
    </row>
    <row r="158" spans="11:18" x14ac:dyDescent="0.25">
      <c r="K158" s="207" t="s">
        <v>331</v>
      </c>
      <c r="L158" s="207"/>
      <c r="M158" s="150" t="s">
        <v>205</v>
      </c>
      <c r="N158" s="114"/>
      <c r="O158" s="114"/>
      <c r="P158" s="114"/>
      <c r="Q158" s="114"/>
      <c r="R158" s="114"/>
    </row>
    <row r="159" spans="11:18" x14ac:dyDescent="0.25">
      <c r="K159" s="207"/>
      <c r="L159" s="207"/>
      <c r="M159" s="150" t="s">
        <v>208</v>
      </c>
      <c r="N159" s="114"/>
      <c r="O159" s="114"/>
      <c r="P159" s="114"/>
      <c r="Q159" s="114"/>
      <c r="R159" s="114"/>
    </row>
    <row r="160" spans="11:18" x14ac:dyDescent="0.25">
      <c r="K160" s="207"/>
      <c r="L160" s="207"/>
      <c r="M160" s="150" t="s">
        <v>210</v>
      </c>
      <c r="N160" s="114"/>
      <c r="O160" s="114"/>
      <c r="P160" s="114"/>
      <c r="Q160" s="114"/>
      <c r="R160" s="114"/>
    </row>
    <row r="161" spans="11:18" x14ac:dyDescent="0.25">
      <c r="K161" s="207"/>
      <c r="L161" s="207"/>
      <c r="M161" s="150" t="s">
        <v>213</v>
      </c>
      <c r="N161" s="114"/>
      <c r="O161" s="114"/>
      <c r="P161" s="114"/>
      <c r="Q161" s="114"/>
      <c r="R161" s="114"/>
    </row>
    <row r="162" spans="11:18" x14ac:dyDescent="0.25">
      <c r="K162" s="207"/>
      <c r="L162" s="207"/>
      <c r="M162" s="150" t="s">
        <v>216</v>
      </c>
      <c r="N162" s="114"/>
      <c r="O162" s="114"/>
      <c r="P162" s="114"/>
      <c r="Q162" s="114"/>
      <c r="R162" s="114"/>
    </row>
    <row r="163" spans="11:18" x14ac:dyDescent="0.25">
      <c r="K163" s="207"/>
      <c r="L163" s="207"/>
      <c r="M163" s="150" t="s">
        <v>217</v>
      </c>
      <c r="N163" s="114"/>
      <c r="O163" s="114"/>
      <c r="P163" s="114"/>
      <c r="Q163" s="114"/>
      <c r="R163" s="114"/>
    </row>
    <row r="164" spans="11:18" x14ac:dyDescent="0.25">
      <c r="K164" s="207"/>
      <c r="L164" s="207"/>
      <c r="M164" s="150" t="s">
        <v>218</v>
      </c>
      <c r="N164" s="114"/>
      <c r="O164" s="114"/>
      <c r="P164" s="114"/>
      <c r="Q164" s="114"/>
      <c r="R164" s="114"/>
    </row>
    <row r="165" spans="11:18" x14ac:dyDescent="0.25">
      <c r="K165" s="207"/>
      <c r="L165" s="207"/>
      <c r="M165" s="150" t="s">
        <v>219</v>
      </c>
      <c r="N165" s="114"/>
      <c r="O165" s="114"/>
      <c r="P165" s="114"/>
      <c r="Q165" s="114"/>
      <c r="R165" s="114"/>
    </row>
    <row r="166" spans="11:18" x14ac:dyDescent="0.25">
      <c r="K166" s="207"/>
      <c r="L166" s="207"/>
      <c r="M166" s="150" t="s">
        <v>220</v>
      </c>
      <c r="N166" s="114"/>
      <c r="O166" s="114"/>
      <c r="P166" s="114"/>
      <c r="Q166" s="114"/>
      <c r="R166" s="114"/>
    </row>
    <row r="167" spans="11:18" x14ac:dyDescent="0.25">
      <c r="K167" s="207" t="s">
        <v>332</v>
      </c>
      <c r="L167" s="207"/>
      <c r="M167" s="150" t="s">
        <v>205</v>
      </c>
      <c r="N167" s="114"/>
      <c r="O167" s="114"/>
      <c r="P167" s="114"/>
      <c r="Q167" s="114"/>
      <c r="R167" s="114"/>
    </row>
    <row r="168" spans="11:18" x14ac:dyDescent="0.25">
      <c r="K168" s="207"/>
      <c r="L168" s="207"/>
      <c r="M168" s="150" t="s">
        <v>208</v>
      </c>
      <c r="N168" s="114"/>
      <c r="O168" s="114"/>
      <c r="P168" s="114"/>
      <c r="Q168" s="114"/>
      <c r="R168" s="114"/>
    </row>
    <row r="169" spans="11:18" x14ac:dyDescent="0.25">
      <c r="K169" s="207"/>
      <c r="L169" s="207"/>
      <c r="M169" s="150" t="s">
        <v>210</v>
      </c>
      <c r="N169" s="114"/>
      <c r="O169" s="114"/>
      <c r="P169" s="114"/>
      <c r="Q169" s="114"/>
      <c r="R169" s="114"/>
    </row>
    <row r="170" spans="11:18" x14ac:dyDescent="0.25">
      <c r="K170" s="207"/>
      <c r="L170" s="207"/>
      <c r="M170" s="150" t="s">
        <v>213</v>
      </c>
      <c r="N170" s="114"/>
      <c r="O170" s="114"/>
      <c r="P170" s="114"/>
      <c r="Q170" s="114"/>
      <c r="R170" s="114"/>
    </row>
    <row r="171" spans="11:18" x14ac:dyDescent="0.25">
      <c r="K171" s="207"/>
      <c r="L171" s="207"/>
      <c r="M171" s="150" t="s">
        <v>216</v>
      </c>
      <c r="N171" s="114"/>
      <c r="O171" s="114"/>
      <c r="P171" s="114"/>
      <c r="Q171" s="114"/>
      <c r="R171" s="114"/>
    </row>
    <row r="172" spans="11:18" x14ac:dyDescent="0.25">
      <c r="K172" s="207"/>
      <c r="L172" s="207"/>
      <c r="M172" s="150" t="s">
        <v>217</v>
      </c>
      <c r="N172" s="114"/>
      <c r="O172" s="114"/>
      <c r="P172" s="114"/>
      <c r="Q172" s="114"/>
      <c r="R172" s="114"/>
    </row>
    <row r="173" spans="11:18" x14ac:dyDescent="0.25">
      <c r="K173" s="207"/>
      <c r="L173" s="207"/>
      <c r="M173" s="150" t="s">
        <v>218</v>
      </c>
      <c r="N173" s="114"/>
      <c r="O173" s="114"/>
      <c r="P173" s="114"/>
      <c r="Q173" s="114"/>
      <c r="R173" s="114"/>
    </row>
    <row r="174" spans="11:18" x14ac:dyDescent="0.25">
      <c r="K174" s="207"/>
      <c r="L174" s="207"/>
      <c r="M174" s="150" t="s">
        <v>219</v>
      </c>
      <c r="N174" s="114"/>
      <c r="O174" s="114"/>
      <c r="P174" s="114"/>
      <c r="Q174" s="114"/>
      <c r="R174" s="114"/>
    </row>
    <row r="175" spans="11:18" x14ac:dyDescent="0.25">
      <c r="K175" s="207"/>
      <c r="L175" s="207"/>
      <c r="M175" s="150" t="s">
        <v>220</v>
      </c>
      <c r="N175" s="114"/>
      <c r="O175" s="114"/>
      <c r="P175" s="114"/>
      <c r="Q175" s="114"/>
      <c r="R175" s="114"/>
    </row>
    <row r="176" spans="11:18" x14ac:dyDescent="0.25">
      <c r="K176" s="207" t="s">
        <v>333</v>
      </c>
      <c r="L176" s="207"/>
      <c r="M176" s="150" t="s">
        <v>205</v>
      </c>
      <c r="N176" s="114"/>
      <c r="O176" s="114"/>
      <c r="P176" s="114"/>
      <c r="Q176" s="114"/>
      <c r="R176" s="114"/>
    </row>
    <row r="177" spans="11:18" x14ac:dyDescent="0.25">
      <c r="K177" s="207"/>
      <c r="L177" s="207"/>
      <c r="M177" s="150" t="s">
        <v>208</v>
      </c>
      <c r="N177" s="114"/>
      <c r="O177" s="114"/>
      <c r="P177" s="114"/>
      <c r="Q177" s="114"/>
      <c r="R177" s="114"/>
    </row>
    <row r="178" spans="11:18" x14ac:dyDescent="0.25">
      <c r="K178" s="207"/>
      <c r="L178" s="207"/>
      <c r="M178" s="150" t="s">
        <v>210</v>
      </c>
      <c r="N178" s="114"/>
      <c r="O178" s="114"/>
      <c r="P178" s="114"/>
      <c r="Q178" s="114"/>
      <c r="R178" s="114"/>
    </row>
    <row r="179" spans="11:18" x14ac:dyDescent="0.25">
      <c r="K179" s="207"/>
      <c r="L179" s="207"/>
      <c r="M179" s="150" t="s">
        <v>213</v>
      </c>
      <c r="N179" s="114"/>
      <c r="O179" s="114"/>
      <c r="P179" s="114"/>
      <c r="Q179" s="114"/>
      <c r="R179" s="114"/>
    </row>
    <row r="180" spans="11:18" x14ac:dyDescent="0.25">
      <c r="K180" s="207"/>
      <c r="L180" s="207"/>
      <c r="M180" s="150" t="s">
        <v>216</v>
      </c>
      <c r="N180" s="114"/>
      <c r="O180" s="114"/>
      <c r="P180" s="114"/>
      <c r="Q180" s="114"/>
      <c r="R180" s="114"/>
    </row>
    <row r="181" spans="11:18" x14ac:dyDescent="0.25">
      <c r="K181" s="207"/>
      <c r="L181" s="207"/>
      <c r="M181" s="150" t="s">
        <v>217</v>
      </c>
      <c r="N181" s="114"/>
      <c r="O181" s="114"/>
      <c r="P181" s="114"/>
      <c r="Q181" s="114"/>
      <c r="R181" s="114"/>
    </row>
    <row r="182" spans="11:18" x14ac:dyDescent="0.25">
      <c r="K182" s="207"/>
      <c r="L182" s="207"/>
      <c r="M182" s="150" t="s">
        <v>218</v>
      </c>
      <c r="N182" s="114"/>
      <c r="O182" s="114"/>
      <c r="P182" s="114"/>
      <c r="Q182" s="114"/>
      <c r="R182" s="114"/>
    </row>
    <row r="183" spans="11:18" x14ac:dyDescent="0.25">
      <c r="K183" s="207"/>
      <c r="L183" s="207"/>
      <c r="M183" s="150" t="s">
        <v>219</v>
      </c>
      <c r="N183" s="114"/>
      <c r="O183" s="114"/>
      <c r="P183" s="114"/>
      <c r="Q183" s="114"/>
      <c r="R183" s="114"/>
    </row>
    <row r="184" spans="11:18" ht="18.75" x14ac:dyDescent="0.25">
      <c r="K184" s="190" t="s">
        <v>334</v>
      </c>
      <c r="L184" s="190"/>
      <c r="M184" s="152"/>
      <c r="N184" s="114"/>
      <c r="O184" s="114"/>
      <c r="P184" s="114"/>
      <c r="Q184" s="114"/>
      <c r="R184" s="114"/>
    </row>
    <row r="185" spans="11:18" x14ac:dyDescent="0.25">
      <c r="K185" s="204" t="s">
        <v>335</v>
      </c>
      <c r="L185" s="204" t="s">
        <v>219</v>
      </c>
      <c r="M185" s="143" t="s">
        <v>324</v>
      </c>
      <c r="N185" s="114"/>
      <c r="O185" s="114"/>
      <c r="P185" s="114"/>
      <c r="Q185" s="114"/>
      <c r="R185" s="114"/>
    </row>
    <row r="186" spans="11:18" x14ac:dyDescent="0.25">
      <c r="K186" s="204"/>
      <c r="L186" s="204"/>
      <c r="M186" s="143" t="s">
        <v>325</v>
      </c>
      <c r="N186" s="114"/>
      <c r="O186" s="114"/>
      <c r="P186" s="114"/>
      <c r="Q186" s="114"/>
      <c r="R186" s="114"/>
    </row>
    <row r="187" spans="11:18" x14ac:dyDescent="0.25">
      <c r="K187" s="204"/>
      <c r="L187" s="204"/>
      <c r="M187" s="143" t="s">
        <v>336</v>
      </c>
      <c r="N187" s="114"/>
      <c r="O187" s="114"/>
      <c r="P187" s="114"/>
      <c r="Q187" s="114"/>
      <c r="R187" s="114"/>
    </row>
    <row r="188" spans="11:18" x14ac:dyDescent="0.25">
      <c r="K188" s="204"/>
      <c r="L188" s="204" t="s">
        <v>220</v>
      </c>
      <c r="M188" s="143" t="s">
        <v>324</v>
      </c>
      <c r="N188" s="114"/>
      <c r="O188" s="114"/>
      <c r="P188" s="114"/>
      <c r="Q188" s="114"/>
      <c r="R188" s="114"/>
    </row>
    <row r="189" spans="11:18" x14ac:dyDescent="0.25">
      <c r="K189" s="204"/>
      <c r="L189" s="204"/>
      <c r="M189" s="143" t="s">
        <v>325</v>
      </c>
      <c r="N189" s="114"/>
      <c r="O189" s="114"/>
      <c r="P189" s="114"/>
      <c r="Q189" s="114"/>
      <c r="R189" s="114"/>
    </row>
    <row r="190" spans="11:18" x14ac:dyDescent="0.25">
      <c r="K190" s="204"/>
      <c r="L190" s="204"/>
      <c r="M190" s="143" t="s">
        <v>336</v>
      </c>
      <c r="N190" s="114"/>
      <c r="O190" s="114"/>
      <c r="P190" s="114"/>
      <c r="Q190" s="114"/>
      <c r="R190" s="114"/>
    </row>
    <row r="191" spans="11:18" x14ac:dyDescent="0.25">
      <c r="K191" s="205" t="s">
        <v>337</v>
      </c>
      <c r="L191" s="205"/>
      <c r="M191" s="154" t="s">
        <v>338</v>
      </c>
      <c r="N191" s="114"/>
      <c r="O191" s="114"/>
      <c r="P191" s="114"/>
      <c r="Q191" s="114"/>
      <c r="R191" s="114"/>
    </row>
    <row r="192" spans="11:18" x14ac:dyDescent="0.25">
      <c r="K192" s="205"/>
      <c r="L192" s="205"/>
      <c r="M192" s="154" t="s">
        <v>339</v>
      </c>
      <c r="N192" s="114"/>
      <c r="O192" s="114"/>
      <c r="P192" s="114"/>
      <c r="Q192" s="114"/>
      <c r="R192" s="114"/>
    </row>
    <row r="193" spans="11:18" x14ac:dyDescent="0.25">
      <c r="K193" s="205"/>
      <c r="L193" s="205"/>
      <c r="M193" s="154" t="s">
        <v>340</v>
      </c>
      <c r="N193" s="114"/>
      <c r="O193" s="114"/>
      <c r="P193" s="114"/>
      <c r="Q193" s="114"/>
      <c r="R193" s="114"/>
    </row>
    <row r="194" spans="11:18" x14ac:dyDescent="0.25">
      <c r="K194" s="205"/>
      <c r="L194" s="205"/>
      <c r="M194" s="154" t="s">
        <v>341</v>
      </c>
      <c r="N194" s="114"/>
      <c r="O194" s="114"/>
      <c r="P194" s="114"/>
      <c r="Q194" s="114"/>
      <c r="R194" s="114"/>
    </row>
    <row r="195" spans="11:18" x14ac:dyDescent="0.25">
      <c r="K195" s="205"/>
      <c r="L195" s="205"/>
      <c r="M195" s="154" t="s">
        <v>342</v>
      </c>
      <c r="N195" s="114"/>
      <c r="O195" s="114"/>
      <c r="P195" s="114"/>
      <c r="Q195" s="114"/>
      <c r="R195" s="114"/>
    </row>
    <row r="196" spans="11:18" x14ac:dyDescent="0.25">
      <c r="K196" s="205"/>
      <c r="L196" s="205"/>
      <c r="M196" s="154" t="s">
        <v>343</v>
      </c>
      <c r="N196" s="114"/>
      <c r="O196" s="114"/>
      <c r="P196" s="114"/>
      <c r="Q196" s="114"/>
      <c r="R196" s="114"/>
    </row>
    <row r="197" spans="11:18" x14ac:dyDescent="0.25">
      <c r="K197" s="206" t="s">
        <v>344</v>
      </c>
      <c r="L197" s="206"/>
      <c r="M197" s="155" t="s">
        <v>338</v>
      </c>
      <c r="N197" s="114"/>
      <c r="O197" s="114"/>
      <c r="P197" s="114"/>
      <c r="Q197" s="114"/>
      <c r="R197" s="114"/>
    </row>
    <row r="198" spans="11:18" x14ac:dyDescent="0.25">
      <c r="K198" s="206"/>
      <c r="L198" s="206"/>
      <c r="M198" s="155" t="s">
        <v>339</v>
      </c>
      <c r="N198" s="114"/>
      <c r="O198" s="114"/>
      <c r="P198" s="114"/>
      <c r="Q198" s="114"/>
      <c r="R198" s="114"/>
    </row>
    <row r="199" spans="11:18" x14ac:dyDescent="0.25">
      <c r="K199" s="206"/>
      <c r="L199" s="206"/>
      <c r="M199" s="155" t="s">
        <v>340</v>
      </c>
      <c r="N199" s="114"/>
      <c r="O199" s="114"/>
      <c r="P199" s="114"/>
      <c r="Q199" s="114"/>
      <c r="R199" s="114"/>
    </row>
    <row r="200" spans="11:18" x14ac:dyDescent="0.25">
      <c r="K200" s="206" t="s">
        <v>345</v>
      </c>
      <c r="L200" s="206"/>
      <c r="M200" s="155" t="s">
        <v>346</v>
      </c>
      <c r="N200" s="114"/>
      <c r="O200" s="114"/>
      <c r="P200" s="114"/>
      <c r="Q200" s="114"/>
      <c r="R200" s="114"/>
    </row>
    <row r="201" spans="11:18" x14ac:dyDescent="0.25">
      <c r="K201" s="206"/>
      <c r="L201" s="206"/>
      <c r="M201" s="155" t="s">
        <v>339</v>
      </c>
      <c r="N201" s="114"/>
      <c r="O201" s="114"/>
      <c r="P201" s="114"/>
      <c r="Q201" s="114"/>
      <c r="R201" s="114"/>
    </row>
    <row r="202" spans="11:18" x14ac:dyDescent="0.25">
      <c r="K202" s="206"/>
      <c r="L202" s="206"/>
      <c r="M202" s="155" t="s">
        <v>340</v>
      </c>
      <c r="N202" s="114"/>
      <c r="O202" s="114"/>
      <c r="P202" s="114"/>
      <c r="Q202" s="114"/>
      <c r="R202" s="114"/>
    </row>
    <row r="203" spans="11:18" x14ac:dyDescent="0.25">
      <c r="K203" s="206"/>
      <c r="L203" s="206"/>
      <c r="M203" s="155" t="s">
        <v>342</v>
      </c>
      <c r="N203" s="114"/>
      <c r="O203" s="114"/>
      <c r="P203" s="114"/>
      <c r="Q203" s="114"/>
      <c r="R203" s="114"/>
    </row>
    <row r="204" spans="11:18" x14ac:dyDescent="0.25">
      <c r="K204" s="206"/>
      <c r="L204" s="206"/>
      <c r="M204" s="155" t="s">
        <v>343</v>
      </c>
      <c r="N204" s="114"/>
      <c r="O204" s="114"/>
      <c r="P204" s="114"/>
      <c r="Q204" s="114"/>
      <c r="R204" s="114"/>
    </row>
    <row r="205" spans="11:18" x14ac:dyDescent="0.25">
      <c r="K205" s="206" t="s">
        <v>347</v>
      </c>
      <c r="L205" s="206"/>
      <c r="M205" s="155" t="s">
        <v>219</v>
      </c>
      <c r="N205" s="114"/>
      <c r="O205" s="114"/>
      <c r="P205" s="114"/>
      <c r="Q205" s="114"/>
      <c r="R205" s="114"/>
    </row>
    <row r="206" spans="11:18" x14ac:dyDescent="0.25">
      <c r="K206" s="206" t="s">
        <v>348</v>
      </c>
      <c r="L206" s="206"/>
      <c r="M206" s="155" t="s">
        <v>349</v>
      </c>
      <c r="N206" s="114"/>
      <c r="O206" s="114"/>
      <c r="P206" s="114"/>
      <c r="Q206" s="114"/>
      <c r="R206" s="114"/>
    </row>
    <row r="207" spans="11:18" x14ac:dyDescent="0.25">
      <c r="K207" s="206"/>
      <c r="L207" s="206"/>
      <c r="M207" s="155" t="s">
        <v>350</v>
      </c>
      <c r="N207" s="114"/>
      <c r="O207" s="114"/>
      <c r="P207" s="114"/>
      <c r="Q207" s="114"/>
      <c r="R207" s="114"/>
    </row>
    <row r="208" spans="11:18" x14ac:dyDescent="0.25">
      <c r="K208" s="206"/>
      <c r="L208" s="206"/>
      <c r="M208" s="155" t="s">
        <v>351</v>
      </c>
      <c r="N208" s="114"/>
      <c r="O208" s="114"/>
      <c r="P208" s="114"/>
      <c r="Q208" s="114"/>
      <c r="R208" s="114"/>
    </row>
    <row r="209" spans="11:18" x14ac:dyDescent="0.25">
      <c r="K209" s="206"/>
      <c r="L209" s="206"/>
      <c r="M209" s="155" t="s">
        <v>219</v>
      </c>
      <c r="N209" s="114"/>
      <c r="O209" s="114"/>
      <c r="P209" s="114"/>
      <c r="Q209" s="114"/>
      <c r="R209" s="114"/>
    </row>
    <row r="210" spans="11:18" x14ac:dyDescent="0.25">
      <c r="K210" s="206"/>
      <c r="L210" s="206"/>
      <c r="M210" s="155" t="s">
        <v>220</v>
      </c>
      <c r="N210" s="114"/>
      <c r="O210" s="114"/>
      <c r="P210" s="114"/>
      <c r="Q210" s="114"/>
      <c r="R210" s="114"/>
    </row>
    <row r="211" spans="11:18" x14ac:dyDescent="0.25">
      <c r="K211" s="206" t="s">
        <v>352</v>
      </c>
      <c r="L211" s="206"/>
      <c r="M211" s="155" t="s">
        <v>353</v>
      </c>
      <c r="N211" s="114"/>
      <c r="O211" s="114"/>
      <c r="P211" s="114"/>
      <c r="Q211" s="114"/>
      <c r="R211" s="114"/>
    </row>
    <row r="212" spans="11:18" x14ac:dyDescent="0.25">
      <c r="K212" s="206"/>
      <c r="L212" s="206"/>
      <c r="M212" s="155" t="s">
        <v>220</v>
      </c>
      <c r="N212" s="114"/>
      <c r="O212" s="114"/>
      <c r="P212" s="114"/>
      <c r="Q212" s="114"/>
      <c r="R212" s="114"/>
    </row>
    <row r="213" spans="11:18" x14ac:dyDescent="0.25">
      <c r="K213" s="204" t="s">
        <v>354</v>
      </c>
      <c r="L213" s="204"/>
      <c r="M213" s="155" t="s">
        <v>353</v>
      </c>
      <c r="N213" s="114"/>
      <c r="O213" s="114"/>
      <c r="P213" s="114"/>
      <c r="Q213" s="114"/>
      <c r="R213" s="114"/>
    </row>
    <row r="214" spans="11:18" x14ac:dyDescent="0.25">
      <c r="K214" s="204"/>
      <c r="L214" s="204"/>
      <c r="M214" s="155" t="s">
        <v>220</v>
      </c>
      <c r="N214" s="114"/>
      <c r="O214" s="114"/>
      <c r="P214" s="114"/>
      <c r="Q214" s="114"/>
      <c r="R214" s="114"/>
    </row>
    <row r="215" spans="11:18" ht="30" x14ac:dyDescent="0.25">
      <c r="K215" s="204" t="s">
        <v>355</v>
      </c>
      <c r="L215" s="204"/>
      <c r="M215" s="156" t="s">
        <v>356</v>
      </c>
      <c r="N215" s="114"/>
      <c r="O215" s="114"/>
      <c r="P215" s="114"/>
      <c r="Q215" s="114"/>
      <c r="R215" s="114"/>
    </row>
    <row r="216" spans="11:18" x14ac:dyDescent="0.25">
      <c r="K216" s="204" t="s">
        <v>357</v>
      </c>
      <c r="L216" s="204"/>
      <c r="M216" s="154" t="s">
        <v>358</v>
      </c>
      <c r="N216" s="114"/>
      <c r="O216" s="114"/>
      <c r="P216" s="114"/>
      <c r="Q216" s="114"/>
      <c r="R216" s="114"/>
    </row>
  </sheetData>
  <mergeCells count="42">
    <mergeCell ref="K215:L215"/>
    <mergeCell ref="K216:L216"/>
    <mergeCell ref="K197:L199"/>
    <mergeCell ref="K200:L204"/>
    <mergeCell ref="K205:L205"/>
    <mergeCell ref="K206:L210"/>
    <mergeCell ref="K211:L212"/>
    <mergeCell ref="K213:L214"/>
    <mergeCell ref="K191:L196"/>
    <mergeCell ref="L134:L135"/>
    <mergeCell ref="L136:L137"/>
    <mergeCell ref="L138:L139"/>
    <mergeCell ref="K140:L148"/>
    <mergeCell ref="K149:L157"/>
    <mergeCell ref="K158:L166"/>
    <mergeCell ref="K167:L175"/>
    <mergeCell ref="K176:L183"/>
    <mergeCell ref="K185:K190"/>
    <mergeCell ref="L185:L187"/>
    <mergeCell ref="L188:L190"/>
    <mergeCell ref="K72:L80"/>
    <mergeCell ref="K81:L114"/>
    <mergeCell ref="K115:L121"/>
    <mergeCell ref="K122:K139"/>
    <mergeCell ref="L122:L123"/>
    <mergeCell ref="L124:L125"/>
    <mergeCell ref="L126:L127"/>
    <mergeCell ref="L128:L129"/>
    <mergeCell ref="L130:L131"/>
    <mergeCell ref="L132:L133"/>
    <mergeCell ref="K22:L30"/>
    <mergeCell ref="K31:L71"/>
    <mergeCell ref="B34:G34"/>
    <mergeCell ref="B47:G47"/>
    <mergeCell ref="B59:G59"/>
    <mergeCell ref="B69:G69"/>
    <mergeCell ref="K21:L21"/>
    <mergeCell ref="B4:C4"/>
    <mergeCell ref="B5:C5"/>
    <mergeCell ref="B6:C6"/>
    <mergeCell ref="B7:G7"/>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16"/>
  <sheetViews>
    <sheetView zoomScaleSheetLayoutView="130" workbookViewId="0">
      <selection activeCell="H9" sqref="H9"/>
    </sheetView>
  </sheetViews>
  <sheetFormatPr defaultRowHeight="15" x14ac:dyDescent="0.25"/>
  <cols>
    <col min="1" max="1" width="7.42578125" customWidth="1"/>
    <col min="2" max="2" width="6.28515625" style="138" customWidth="1"/>
    <col min="3" max="3" width="12.42578125" style="138" customWidth="1"/>
    <col min="4" max="4" width="18" style="138" bestFit="1" customWidth="1"/>
    <col min="5" max="5" width="10.42578125" style="138" customWidth="1"/>
    <col min="6" max="6" width="13.140625" style="138" customWidth="1"/>
    <col min="7" max="7" width="11.7109375" style="138" customWidth="1"/>
    <col min="8" max="8" width="28.28515625" customWidth="1"/>
    <col min="11" max="11" width="19.85546875" style="168" customWidth="1"/>
    <col min="13" max="13" width="8.5703125" customWidth="1"/>
    <col min="14" max="14" width="14" customWidth="1"/>
  </cols>
  <sheetData>
    <row r="1" spans="2:18" ht="46.5" customHeight="1" x14ac:dyDescent="0.25">
      <c r="D1" s="166"/>
      <c r="E1" s="167"/>
      <c r="F1" s="167"/>
      <c r="G1" s="167"/>
      <c r="J1">
        <v>63</v>
      </c>
      <c r="K1" s="168">
        <v>75</v>
      </c>
      <c r="L1">
        <v>90</v>
      </c>
      <c r="M1">
        <v>110</v>
      </c>
      <c r="N1">
        <v>140</v>
      </c>
      <c r="O1">
        <v>160</v>
      </c>
    </row>
    <row r="2" spans="2:18" s="138" customFormat="1" ht="15" customHeight="1" x14ac:dyDescent="0.25">
      <c r="B2" s="214" t="s">
        <v>178</v>
      </c>
      <c r="C2" s="214"/>
      <c r="D2" s="169" t="s">
        <v>179</v>
      </c>
      <c r="G2" s="117"/>
      <c r="J2" s="138">
        <v>2490.4999999999991</v>
      </c>
      <c r="K2" s="170">
        <v>2687.6</v>
      </c>
      <c r="L2" s="138">
        <v>1022.6000000000001</v>
      </c>
      <c r="M2" s="138">
        <v>2678.4</v>
      </c>
      <c r="N2" s="138">
        <v>707.40000000000009</v>
      </c>
      <c r="O2" s="138">
        <v>2277.5</v>
      </c>
    </row>
    <row r="3" spans="2:18" s="138" customFormat="1" ht="15" customHeight="1" x14ac:dyDescent="0.25">
      <c r="B3" s="214" t="s">
        <v>36</v>
      </c>
      <c r="C3" s="214"/>
      <c r="D3" s="171" t="s">
        <v>374</v>
      </c>
      <c r="E3" s="172"/>
      <c r="F3" s="172"/>
      <c r="G3" s="117"/>
      <c r="K3" s="170"/>
    </row>
    <row r="4" spans="2:18" s="138" customFormat="1" ht="33" customHeight="1" x14ac:dyDescent="0.25">
      <c r="B4" s="215" t="s">
        <v>181</v>
      </c>
      <c r="C4" s="215"/>
      <c r="D4" s="182" t="s">
        <v>377</v>
      </c>
      <c r="E4" s="183"/>
      <c r="F4" s="183"/>
      <c r="G4" s="154"/>
      <c r="K4" s="170"/>
    </row>
    <row r="5" spans="2:18" ht="18.75" x14ac:dyDescent="0.25">
      <c r="B5" s="210" t="s">
        <v>183</v>
      </c>
      <c r="C5" s="211"/>
      <c r="D5" s="211"/>
      <c r="E5" s="211"/>
      <c r="F5" s="211"/>
      <c r="G5" s="212"/>
      <c r="J5" s="218" t="s">
        <v>378</v>
      </c>
      <c r="K5" s="218"/>
      <c r="L5" s="218"/>
      <c r="M5" s="218"/>
      <c r="N5" s="218"/>
      <c r="O5" s="218"/>
    </row>
    <row r="6" spans="2:18" ht="45" x14ac:dyDescent="0.25">
      <c r="B6" s="153" t="s">
        <v>184</v>
      </c>
      <c r="C6" s="153" t="s">
        <v>185</v>
      </c>
      <c r="D6" s="153" t="s">
        <v>186</v>
      </c>
      <c r="E6" s="127" t="s">
        <v>187</v>
      </c>
      <c r="F6" s="127" t="s">
        <v>188</v>
      </c>
      <c r="G6" s="153" t="s">
        <v>202</v>
      </c>
      <c r="J6" s="142" t="s">
        <v>375</v>
      </c>
      <c r="K6" s="153" t="s">
        <v>376</v>
      </c>
      <c r="L6" s="153" t="s">
        <v>186</v>
      </c>
      <c r="M6" s="127" t="s">
        <v>187</v>
      </c>
      <c r="N6" s="127" t="s">
        <v>188</v>
      </c>
      <c r="O6" s="153" t="s">
        <v>202</v>
      </c>
    </row>
    <row r="7" spans="2:18" ht="15" customHeight="1" x14ac:dyDescent="0.25">
      <c r="B7" s="132">
        <v>1</v>
      </c>
      <c r="C7" s="131">
        <v>44901</v>
      </c>
      <c r="D7" s="132">
        <v>650</v>
      </c>
      <c r="E7" s="132"/>
      <c r="F7" s="132">
        <f>D7-E7</f>
        <v>650</v>
      </c>
      <c r="G7" s="132">
        <v>2753</v>
      </c>
      <c r="J7" s="137" t="s">
        <v>183</v>
      </c>
      <c r="K7" s="137">
        <f>+'[154]Atarasand -PR E '!$I$1034</f>
        <v>4008</v>
      </c>
      <c r="L7" s="137">
        <f>+D23</f>
        <v>2600</v>
      </c>
      <c r="M7" s="137">
        <f>+'[154]Atarasand -PR E '!$I$1033</f>
        <v>2529</v>
      </c>
      <c r="N7" s="137">
        <f>+L7-M7</f>
        <v>71</v>
      </c>
      <c r="O7" s="137"/>
      <c r="P7">
        <f>+'[155]ATTARASAND PR'!$B$138</f>
        <v>4008</v>
      </c>
      <c r="Q7">
        <f>+L7-P7</f>
        <v>-1408</v>
      </c>
    </row>
    <row r="8" spans="2:18" ht="15" customHeight="1" x14ac:dyDescent="0.25">
      <c r="B8" s="132">
        <v>2</v>
      </c>
      <c r="C8" s="131">
        <v>44902</v>
      </c>
      <c r="D8" s="132"/>
      <c r="E8" s="132">
        <v>86</v>
      </c>
      <c r="F8" s="132">
        <f t="shared" ref="F8:F19" si="0">F7+D8-E8</f>
        <v>564</v>
      </c>
      <c r="G8" s="132"/>
      <c r="J8" s="137" t="s">
        <v>191</v>
      </c>
      <c r="K8" s="137">
        <f>+'[154]Atarasand -PR E '!$J$1034</f>
        <v>3644</v>
      </c>
      <c r="L8" s="132">
        <f>+D49</f>
        <v>3250</v>
      </c>
      <c r="M8" s="137">
        <f>+'[154]Atarasand -PR E '!$J$1033</f>
        <v>3250</v>
      </c>
      <c r="N8" s="137">
        <f t="shared" ref="N8:N12" si="1">+L8-M8</f>
        <v>0</v>
      </c>
      <c r="O8" s="137">
        <f>+K8-M8</f>
        <v>394</v>
      </c>
      <c r="P8">
        <f>+'[155]ATTARASAND PR'!$C$138</f>
        <v>3644</v>
      </c>
      <c r="Q8">
        <f t="shared" ref="Q8:Q12" si="2">+L8-P8</f>
        <v>-394</v>
      </c>
    </row>
    <row r="9" spans="2:18" ht="15" customHeight="1" x14ac:dyDescent="0.25">
      <c r="B9" s="132">
        <v>3</v>
      </c>
      <c r="C9" s="131">
        <v>44903</v>
      </c>
      <c r="D9" s="132"/>
      <c r="E9" s="132">
        <v>70</v>
      </c>
      <c r="F9" s="132">
        <f t="shared" si="0"/>
        <v>494</v>
      </c>
      <c r="G9" s="132"/>
      <c r="J9" s="137" t="s">
        <v>192</v>
      </c>
      <c r="K9" s="137">
        <f>+'[154]Atarasand -PR E '!$K$1034</f>
        <v>1029</v>
      </c>
      <c r="L9" s="137">
        <f>+D62</f>
        <v>900</v>
      </c>
      <c r="M9" s="137">
        <f>+'[154]Atarasand -PR E '!$K$1033</f>
        <v>845</v>
      </c>
      <c r="N9" s="137">
        <f t="shared" si="1"/>
        <v>55</v>
      </c>
      <c r="O9" s="137"/>
      <c r="P9">
        <f>+'[155]ATTARASAND PR'!$D$138</f>
        <v>1029</v>
      </c>
      <c r="Q9">
        <f t="shared" si="2"/>
        <v>-129</v>
      </c>
    </row>
    <row r="10" spans="2:18" ht="15" customHeight="1" x14ac:dyDescent="0.25">
      <c r="B10" s="132">
        <v>4</v>
      </c>
      <c r="C10" s="131">
        <v>44907</v>
      </c>
      <c r="D10" s="132"/>
      <c r="E10" s="132">
        <v>30</v>
      </c>
      <c r="F10" s="132">
        <f t="shared" si="0"/>
        <v>464</v>
      </c>
      <c r="G10" s="132"/>
      <c r="J10" s="137" t="s">
        <v>193</v>
      </c>
      <c r="K10" s="137">
        <f>+'[154]Atarasand -PR E '!$L$1034</f>
        <v>2846</v>
      </c>
      <c r="L10" s="137">
        <f>+D75</f>
        <v>2800</v>
      </c>
      <c r="M10" s="137">
        <f>+'[154]Atarasand -PR E '!$L$1033</f>
        <v>2785</v>
      </c>
      <c r="N10" s="137">
        <f t="shared" si="1"/>
        <v>15</v>
      </c>
      <c r="O10" s="137"/>
      <c r="P10">
        <f>+'[155]ATTARASAND PR'!$E$138</f>
        <v>2846</v>
      </c>
      <c r="Q10">
        <f t="shared" si="2"/>
        <v>-46</v>
      </c>
    </row>
    <row r="11" spans="2:18" ht="15" customHeight="1" x14ac:dyDescent="0.25">
      <c r="B11" s="132">
        <v>5</v>
      </c>
      <c r="C11" s="131">
        <v>44914</v>
      </c>
      <c r="D11" s="132"/>
      <c r="E11" s="132">
        <v>270</v>
      </c>
      <c r="F11" s="132">
        <f t="shared" si="0"/>
        <v>194</v>
      </c>
      <c r="G11" s="132"/>
      <c r="J11" s="137" t="s">
        <v>195</v>
      </c>
      <c r="K11" s="137">
        <f>+'[154]Atarasand -PR E '!$M$1034</f>
        <v>713</v>
      </c>
      <c r="L11" s="137">
        <f>+D95</f>
        <v>732</v>
      </c>
      <c r="M11" s="137">
        <f>+'[154]Atarasand -PR E '!$M$1033</f>
        <v>579</v>
      </c>
      <c r="N11" s="137">
        <f t="shared" si="1"/>
        <v>153</v>
      </c>
      <c r="O11" s="137"/>
      <c r="P11">
        <f>+'[155]ATTARASAND PR'!$F$138</f>
        <v>713</v>
      </c>
      <c r="Q11">
        <f t="shared" si="2"/>
        <v>19</v>
      </c>
    </row>
    <row r="12" spans="2:18" ht="15" customHeight="1" x14ac:dyDescent="0.25">
      <c r="B12" s="132">
        <v>6</v>
      </c>
      <c r="C12" s="131">
        <v>44915</v>
      </c>
      <c r="D12" s="132">
        <v>1950</v>
      </c>
      <c r="E12" s="132"/>
      <c r="F12" s="132">
        <f t="shared" si="0"/>
        <v>2144</v>
      </c>
      <c r="G12" s="132">
        <v>2757</v>
      </c>
      <c r="J12" s="137" t="s">
        <v>196</v>
      </c>
      <c r="K12" s="137">
        <f>+'[154]Atarasand -PR E '!$N$1034</f>
        <v>2121</v>
      </c>
      <c r="L12" s="137">
        <f>+D105</f>
        <v>2220</v>
      </c>
      <c r="M12" s="137">
        <f>+'[154]Atarasand -PR E '!$N$1033</f>
        <v>2091</v>
      </c>
      <c r="N12" s="137">
        <f t="shared" si="1"/>
        <v>129</v>
      </c>
      <c r="O12" s="137"/>
      <c r="P12">
        <f>+'[155]ATTARASAND PR'!$G$138</f>
        <v>2121</v>
      </c>
      <c r="Q12">
        <f t="shared" si="2"/>
        <v>99</v>
      </c>
    </row>
    <row r="13" spans="2:18" ht="15" customHeight="1" x14ac:dyDescent="0.25">
      <c r="B13" s="132">
        <v>7</v>
      </c>
      <c r="C13" s="131">
        <v>44918</v>
      </c>
      <c r="D13" s="132"/>
      <c r="E13" s="132">
        <v>90</v>
      </c>
      <c r="F13" s="132">
        <f t="shared" si="0"/>
        <v>2054</v>
      </c>
      <c r="G13" s="132"/>
      <c r="J13" s="137" t="s">
        <v>379</v>
      </c>
      <c r="K13" s="137">
        <f>+'[154]Atarasand -PR E '!$P$1034</f>
        <v>1431</v>
      </c>
      <c r="L13" s="137"/>
      <c r="M13" s="137"/>
      <c r="N13" s="137"/>
      <c r="O13" s="137"/>
      <c r="R13">
        <f>12*6</f>
        <v>72</v>
      </c>
    </row>
    <row r="14" spans="2:18" ht="15" customHeight="1" x14ac:dyDescent="0.25">
      <c r="B14" s="132">
        <v>8</v>
      </c>
      <c r="C14" s="131">
        <v>44919</v>
      </c>
      <c r="D14" s="132"/>
      <c r="E14" s="132">
        <v>68</v>
      </c>
      <c r="F14" s="132">
        <f t="shared" si="0"/>
        <v>1986</v>
      </c>
      <c r="G14" s="132"/>
      <c r="J14" s="137"/>
      <c r="K14" s="137">
        <f>+SUM(K7:K13)</f>
        <v>15792</v>
      </c>
      <c r="L14" s="137"/>
      <c r="M14" s="137"/>
      <c r="N14" s="137"/>
      <c r="O14" s="137"/>
    </row>
    <row r="15" spans="2:18" ht="15" customHeight="1" x14ac:dyDescent="0.25">
      <c r="B15" s="132">
        <v>9</v>
      </c>
      <c r="C15" s="131">
        <v>44920</v>
      </c>
      <c r="D15" s="132"/>
      <c r="E15" s="132">
        <v>112</v>
      </c>
      <c r="F15" s="132">
        <f t="shared" si="0"/>
        <v>1874</v>
      </c>
      <c r="G15" s="132"/>
    </row>
    <row r="16" spans="2:18" ht="15" customHeight="1" x14ac:dyDescent="0.25">
      <c r="B16" s="132">
        <v>10</v>
      </c>
      <c r="C16" s="131">
        <v>44921</v>
      </c>
      <c r="D16" s="132"/>
      <c r="E16" s="132">
        <v>95</v>
      </c>
      <c r="F16" s="132">
        <f t="shared" si="0"/>
        <v>1779</v>
      </c>
      <c r="G16" s="132"/>
    </row>
    <row r="17" spans="2:11" ht="15" customHeight="1" x14ac:dyDescent="0.25">
      <c r="B17" s="132">
        <v>11</v>
      </c>
      <c r="C17" s="131">
        <v>44923</v>
      </c>
      <c r="D17" s="132"/>
      <c r="E17" s="132">
        <v>140</v>
      </c>
      <c r="F17" s="132">
        <f t="shared" si="0"/>
        <v>1639</v>
      </c>
      <c r="G17" s="132"/>
    </row>
    <row r="18" spans="2:11" ht="15" customHeight="1" x14ac:dyDescent="0.25">
      <c r="B18" s="132">
        <f>+B17+1</f>
        <v>12</v>
      </c>
      <c r="C18" s="131">
        <v>44925</v>
      </c>
      <c r="D18" s="132"/>
      <c r="E18" s="132">
        <v>85</v>
      </c>
      <c r="F18" s="132">
        <f t="shared" si="0"/>
        <v>1554</v>
      </c>
      <c r="G18" s="132"/>
    </row>
    <row r="19" spans="2:11" ht="15" customHeight="1" x14ac:dyDescent="0.25">
      <c r="B19" s="132">
        <f t="shared" ref="B19:B22" si="3">+B18+1</f>
        <v>13</v>
      </c>
      <c r="C19" s="131">
        <v>44926</v>
      </c>
      <c r="D19" s="132"/>
      <c r="E19" s="132">
        <v>40</v>
      </c>
      <c r="F19" s="132">
        <f t="shared" si="0"/>
        <v>1514</v>
      </c>
      <c r="G19" s="132"/>
    </row>
    <row r="20" spans="2:11" ht="15" customHeight="1" x14ac:dyDescent="0.25">
      <c r="B20" s="132">
        <f t="shared" si="3"/>
        <v>14</v>
      </c>
      <c r="C20" s="131"/>
      <c r="D20" s="132"/>
      <c r="E20" s="132"/>
      <c r="F20" s="132"/>
      <c r="G20" s="132"/>
    </row>
    <row r="21" spans="2:11" ht="15" customHeight="1" x14ac:dyDescent="0.25">
      <c r="B21" s="132">
        <f t="shared" si="3"/>
        <v>15</v>
      </c>
      <c r="C21" s="131"/>
      <c r="D21" s="132"/>
      <c r="E21" s="132"/>
      <c r="F21" s="132"/>
      <c r="G21" s="132"/>
    </row>
    <row r="22" spans="2:11" ht="15" customHeight="1" x14ac:dyDescent="0.25">
      <c r="B22" s="132">
        <f t="shared" si="3"/>
        <v>16</v>
      </c>
      <c r="C22" s="131"/>
      <c r="D22" s="132"/>
      <c r="E22" s="132"/>
      <c r="F22" s="132"/>
      <c r="G22" s="132"/>
      <c r="K22" s="168">
        <f>2150+2600+3250</f>
        <v>8000</v>
      </c>
    </row>
    <row r="23" spans="2:11" ht="15" customHeight="1" x14ac:dyDescent="0.25">
      <c r="B23" s="184"/>
      <c r="C23" s="131" t="s">
        <v>190</v>
      </c>
      <c r="D23" s="132">
        <f>+SUM(D7:D22)</f>
        <v>2600</v>
      </c>
      <c r="E23" s="185"/>
      <c r="F23" s="185"/>
      <c r="G23" s="173"/>
    </row>
    <row r="24" spans="2:11" ht="15" customHeight="1" x14ac:dyDescent="0.25">
      <c r="B24" s="184"/>
      <c r="C24" s="186"/>
      <c r="D24" s="185"/>
      <c r="E24" s="185"/>
      <c r="F24" s="185"/>
      <c r="G24" s="173"/>
    </row>
    <row r="25" spans="2:11" ht="18.75" x14ac:dyDescent="0.25">
      <c r="B25" s="210" t="s">
        <v>191</v>
      </c>
      <c r="C25" s="211"/>
      <c r="D25" s="211"/>
      <c r="E25" s="211"/>
      <c r="F25" s="211"/>
      <c r="G25" s="212"/>
    </row>
    <row r="26" spans="2:11" ht="45" x14ac:dyDescent="0.25">
      <c r="B26" s="153" t="s">
        <v>184</v>
      </c>
      <c r="C26" s="153" t="s">
        <v>185</v>
      </c>
      <c r="D26" s="153" t="s">
        <v>186</v>
      </c>
      <c r="E26" s="127" t="s">
        <v>187</v>
      </c>
      <c r="F26" s="127" t="s">
        <v>188</v>
      </c>
      <c r="G26" s="153" t="s">
        <v>202</v>
      </c>
    </row>
    <row r="27" spans="2:11" ht="15" customHeight="1" x14ac:dyDescent="0.25">
      <c r="B27" s="132">
        <v>1</v>
      </c>
      <c r="C27" s="131">
        <v>44901</v>
      </c>
      <c r="D27" s="132">
        <v>450</v>
      </c>
      <c r="E27" s="132"/>
      <c r="F27" s="132">
        <f>D27-E27</f>
        <v>450</v>
      </c>
      <c r="G27" s="132">
        <v>2753</v>
      </c>
    </row>
    <row r="28" spans="2:11" ht="15" customHeight="1" x14ac:dyDescent="0.25">
      <c r="B28" s="132">
        <v>2</v>
      </c>
      <c r="C28" s="131">
        <v>44903</v>
      </c>
      <c r="D28" s="132"/>
      <c r="E28" s="132">
        <v>135</v>
      </c>
      <c r="F28" s="132">
        <f t="shared" ref="F28:F39" si="4">F27+D28-E28</f>
        <v>315</v>
      </c>
      <c r="G28" s="132"/>
    </row>
    <row r="29" spans="2:11" ht="15" customHeight="1" x14ac:dyDescent="0.25">
      <c r="B29" s="132">
        <v>3</v>
      </c>
      <c r="C29" s="131">
        <v>44908</v>
      </c>
      <c r="D29" s="132"/>
      <c r="E29" s="132">
        <v>195</v>
      </c>
      <c r="F29" s="132">
        <f t="shared" si="4"/>
        <v>120</v>
      </c>
      <c r="G29" s="132"/>
    </row>
    <row r="30" spans="2:11" ht="15" customHeight="1" x14ac:dyDescent="0.25">
      <c r="B30" s="132">
        <v>4</v>
      </c>
      <c r="C30" s="131">
        <v>44914</v>
      </c>
      <c r="D30" s="132">
        <v>3150</v>
      </c>
      <c r="E30" s="132"/>
      <c r="F30" s="132">
        <f t="shared" si="4"/>
        <v>3270</v>
      </c>
      <c r="G30" s="132">
        <v>2755</v>
      </c>
    </row>
    <row r="31" spans="2:11" ht="15" customHeight="1" x14ac:dyDescent="0.25">
      <c r="B31" s="132">
        <v>5</v>
      </c>
      <c r="C31" s="131">
        <v>44915</v>
      </c>
      <c r="D31" s="132">
        <v>450</v>
      </c>
      <c r="E31" s="132">
        <v>250</v>
      </c>
      <c r="F31" s="132">
        <f t="shared" si="4"/>
        <v>3470</v>
      </c>
      <c r="G31" s="132">
        <v>2757</v>
      </c>
    </row>
    <row r="32" spans="2:11" ht="15" customHeight="1" x14ac:dyDescent="0.25">
      <c r="B32" s="132">
        <v>6</v>
      </c>
      <c r="C32" s="131">
        <v>44916</v>
      </c>
      <c r="D32" s="132"/>
      <c r="E32" s="132">
        <v>654</v>
      </c>
      <c r="F32" s="132">
        <f t="shared" si="4"/>
        <v>2816</v>
      </c>
      <c r="G32" s="132"/>
    </row>
    <row r="33" spans="2:7" ht="15" customHeight="1" x14ac:dyDescent="0.25">
      <c r="B33" s="132">
        <v>7</v>
      </c>
      <c r="C33" s="131">
        <v>44918</v>
      </c>
      <c r="D33" s="132"/>
      <c r="E33" s="132">
        <v>156</v>
      </c>
      <c r="F33" s="132">
        <f t="shared" si="4"/>
        <v>2660</v>
      </c>
      <c r="G33" s="132"/>
    </row>
    <row r="34" spans="2:7" ht="15" customHeight="1" x14ac:dyDescent="0.25">
      <c r="B34" s="132">
        <v>8</v>
      </c>
      <c r="C34" s="131">
        <v>44919</v>
      </c>
      <c r="D34" s="132"/>
      <c r="E34" s="132">
        <v>55</v>
      </c>
      <c r="F34" s="132">
        <f t="shared" si="4"/>
        <v>2605</v>
      </c>
      <c r="G34" s="132"/>
    </row>
    <row r="35" spans="2:7" s="138" customFormat="1" ht="15" customHeight="1" x14ac:dyDescent="0.25">
      <c r="B35" s="132">
        <v>9</v>
      </c>
      <c r="C35" s="131">
        <v>44920</v>
      </c>
      <c r="D35" s="132"/>
      <c r="E35" s="132">
        <v>88</v>
      </c>
      <c r="F35" s="132">
        <f t="shared" si="4"/>
        <v>2517</v>
      </c>
      <c r="G35" s="132"/>
    </row>
    <row r="36" spans="2:7" s="138" customFormat="1" ht="15" customHeight="1" x14ac:dyDescent="0.25">
      <c r="B36" s="132">
        <v>10</v>
      </c>
      <c r="C36" s="131">
        <v>44921</v>
      </c>
      <c r="D36" s="132"/>
      <c r="E36" s="132">
        <v>130</v>
      </c>
      <c r="F36" s="132">
        <f t="shared" si="4"/>
        <v>2387</v>
      </c>
      <c r="G36" s="132"/>
    </row>
    <row r="37" spans="2:7" s="138" customFormat="1" ht="15" customHeight="1" x14ac:dyDescent="0.25">
      <c r="B37" s="132">
        <v>11</v>
      </c>
      <c r="C37" s="131">
        <v>44922</v>
      </c>
      <c r="D37" s="132"/>
      <c r="E37" s="132">
        <v>181</v>
      </c>
      <c r="F37" s="132">
        <f t="shared" si="4"/>
        <v>2206</v>
      </c>
      <c r="G37" s="132"/>
    </row>
    <row r="38" spans="2:7" s="138" customFormat="1" ht="15" customHeight="1" x14ac:dyDescent="0.25">
      <c r="B38" s="132">
        <f>+B37+1</f>
        <v>12</v>
      </c>
      <c r="C38" s="131">
        <v>44926</v>
      </c>
      <c r="D38" s="132"/>
      <c r="E38" s="132">
        <f>28+16+35</f>
        <v>79</v>
      </c>
      <c r="F38" s="132">
        <f t="shared" si="4"/>
        <v>2127</v>
      </c>
      <c r="G38" s="132"/>
    </row>
    <row r="39" spans="2:7" s="138" customFormat="1" ht="15" customHeight="1" x14ac:dyDescent="0.25">
      <c r="B39" s="132">
        <f t="shared" ref="B39:B43" si="5">+B38+1</f>
        <v>13</v>
      </c>
      <c r="C39" s="131">
        <v>44928</v>
      </c>
      <c r="D39" s="132"/>
      <c r="E39" s="132">
        <f>23+77+52</f>
        <v>152</v>
      </c>
      <c r="F39" s="132">
        <f t="shared" si="4"/>
        <v>1975</v>
      </c>
      <c r="G39" s="132"/>
    </row>
    <row r="40" spans="2:7" s="138" customFormat="1" ht="15" customHeight="1" x14ac:dyDescent="0.25">
      <c r="B40" s="132">
        <f t="shared" si="5"/>
        <v>14</v>
      </c>
      <c r="C40" s="117"/>
      <c r="D40" s="117"/>
      <c r="E40" s="117"/>
      <c r="F40" s="117"/>
      <c r="G40" s="117"/>
    </row>
    <row r="41" spans="2:7" s="138" customFormat="1" ht="15" customHeight="1" x14ac:dyDescent="0.25">
      <c r="B41" s="132">
        <f t="shared" si="5"/>
        <v>15</v>
      </c>
      <c r="C41" s="131"/>
      <c r="D41" s="132"/>
      <c r="E41" s="132"/>
      <c r="F41" s="132"/>
      <c r="G41" s="132"/>
    </row>
    <row r="42" spans="2:7" s="138" customFormat="1" ht="15" customHeight="1" x14ac:dyDescent="0.25">
      <c r="B42" s="132">
        <f t="shared" si="5"/>
        <v>16</v>
      </c>
      <c r="C42" s="131"/>
      <c r="D42" s="132"/>
      <c r="E42" s="132"/>
      <c r="F42" s="132"/>
      <c r="G42" s="132"/>
    </row>
    <row r="43" spans="2:7" s="138" customFormat="1" ht="15" customHeight="1" x14ac:dyDescent="0.25">
      <c r="B43" s="132">
        <f t="shared" si="5"/>
        <v>17</v>
      </c>
      <c r="C43" s="131"/>
      <c r="D43" s="132"/>
      <c r="E43" s="132"/>
      <c r="F43" s="132"/>
      <c r="G43" s="132"/>
    </row>
    <row r="44" spans="2:7" s="138" customFormat="1" ht="15" customHeight="1" x14ac:dyDescent="0.25">
      <c r="B44" s="132"/>
      <c r="C44" s="131"/>
      <c r="D44" s="132"/>
      <c r="E44" s="132"/>
      <c r="F44" s="132"/>
      <c r="G44" s="132"/>
    </row>
    <row r="45" spans="2:7" s="138" customFormat="1" ht="15" customHeight="1" x14ac:dyDescent="0.25">
      <c r="B45" s="132"/>
      <c r="C45" s="131"/>
      <c r="D45" s="132"/>
      <c r="E45" s="132"/>
      <c r="F45" s="132"/>
      <c r="G45" s="132"/>
    </row>
    <row r="46" spans="2:7" s="138" customFormat="1" ht="15" customHeight="1" x14ac:dyDescent="0.25">
      <c r="B46" s="132"/>
      <c r="C46" s="131"/>
      <c r="D46" s="132"/>
      <c r="E46" s="132"/>
      <c r="F46" s="132"/>
      <c r="G46" s="132"/>
    </row>
    <row r="47" spans="2:7" s="138" customFormat="1" ht="15" customHeight="1" x14ac:dyDescent="0.25">
      <c r="B47" s="132"/>
      <c r="C47" s="131"/>
      <c r="D47" s="132"/>
      <c r="E47" s="132"/>
      <c r="F47" s="132"/>
      <c r="G47" s="132"/>
    </row>
    <row r="48" spans="2:7" s="138" customFormat="1" ht="15" customHeight="1" x14ac:dyDescent="0.25">
      <c r="B48" s="132"/>
      <c r="C48" s="131">
        <v>44981</v>
      </c>
      <c r="D48" s="132">
        <v>800</v>
      </c>
      <c r="E48" s="132"/>
      <c r="F48" s="132"/>
      <c r="G48" s="132" t="s">
        <v>380</v>
      </c>
    </row>
    <row r="49" spans="2:7" s="138" customFormat="1" ht="15" customHeight="1" x14ac:dyDescent="0.25">
      <c r="B49" s="184"/>
      <c r="C49" s="131" t="s">
        <v>381</v>
      </c>
      <c r="D49" s="132">
        <f>+SUM(D27:D39)-D48</f>
        <v>3250</v>
      </c>
      <c r="E49" s="185"/>
      <c r="F49" s="185"/>
      <c r="G49" s="173"/>
    </row>
    <row r="50" spans="2:7" ht="18.75" x14ac:dyDescent="0.25">
      <c r="B50" s="210" t="s">
        <v>192</v>
      </c>
      <c r="C50" s="211"/>
      <c r="D50" s="211"/>
      <c r="E50" s="211"/>
      <c r="F50" s="211"/>
      <c r="G50" s="212"/>
    </row>
    <row r="51" spans="2:7" ht="45" x14ac:dyDescent="0.25">
      <c r="B51" s="153" t="s">
        <v>184</v>
      </c>
      <c r="C51" s="153" t="s">
        <v>185</v>
      </c>
      <c r="D51" s="153" t="s">
        <v>186</v>
      </c>
      <c r="E51" s="127" t="s">
        <v>187</v>
      </c>
      <c r="F51" s="127" t="s">
        <v>188</v>
      </c>
      <c r="G51" s="153" t="s">
        <v>202</v>
      </c>
    </row>
    <row r="52" spans="2:7" ht="15" customHeight="1" x14ac:dyDescent="0.25">
      <c r="B52" s="174">
        <v>1</v>
      </c>
      <c r="C52" s="175">
        <v>44928</v>
      </c>
      <c r="D52" s="174">
        <v>900</v>
      </c>
      <c r="E52" s="174"/>
      <c r="F52" s="174"/>
      <c r="G52" s="132">
        <v>2760</v>
      </c>
    </row>
    <row r="53" spans="2:7" ht="15" customHeight="1" x14ac:dyDescent="0.25">
      <c r="B53" s="174"/>
      <c r="C53" s="175"/>
      <c r="D53" s="174"/>
      <c r="E53" s="174"/>
      <c r="F53" s="174"/>
      <c r="G53" s="132"/>
    </row>
    <row r="54" spans="2:7" ht="15" customHeight="1" x14ac:dyDescent="0.25">
      <c r="B54" s="132"/>
      <c r="C54" s="131"/>
      <c r="D54" s="132"/>
      <c r="E54" s="132"/>
      <c r="F54" s="132"/>
      <c r="G54" s="132"/>
    </row>
    <row r="55" spans="2:7" ht="15" customHeight="1" x14ac:dyDescent="0.25">
      <c r="B55" s="132"/>
      <c r="C55" s="131"/>
      <c r="D55" s="132"/>
      <c r="E55" s="132"/>
      <c r="F55" s="132"/>
      <c r="G55" s="132"/>
    </row>
    <row r="56" spans="2:7" ht="15" customHeight="1" x14ac:dyDescent="0.25">
      <c r="B56" s="132"/>
      <c r="C56" s="131"/>
      <c r="D56" s="132"/>
      <c r="E56" s="132"/>
      <c r="F56" s="132"/>
      <c r="G56" s="132"/>
    </row>
    <row r="57" spans="2:7" ht="15" customHeight="1" x14ac:dyDescent="0.25">
      <c r="B57" s="174"/>
      <c r="C57" s="175"/>
      <c r="D57" s="174"/>
      <c r="E57" s="174"/>
      <c r="F57" s="174"/>
      <c r="G57" s="132"/>
    </row>
    <row r="58" spans="2:7" ht="15" customHeight="1" x14ac:dyDescent="0.25">
      <c r="B58" s="174"/>
      <c r="C58" s="175"/>
      <c r="D58" s="176"/>
      <c r="E58" s="174"/>
      <c r="F58" s="174"/>
      <c r="G58" s="132"/>
    </row>
    <row r="59" spans="2:7" s="138" customFormat="1" ht="15" customHeight="1" x14ac:dyDescent="0.25">
      <c r="B59" s="174"/>
      <c r="C59" s="175"/>
      <c r="D59" s="176"/>
      <c r="E59" s="174"/>
      <c r="F59" s="174"/>
      <c r="G59" s="132"/>
    </row>
    <row r="60" spans="2:7" s="138" customFormat="1" ht="15" customHeight="1" x14ac:dyDescent="0.25">
      <c r="B60" s="174"/>
      <c r="C60" s="175"/>
      <c r="D60" s="176"/>
      <c r="E60" s="174"/>
      <c r="F60" s="174"/>
      <c r="G60" s="173"/>
    </row>
    <row r="61" spans="2:7" s="138" customFormat="1" ht="15" customHeight="1" x14ac:dyDescent="0.25">
      <c r="B61" s="174"/>
      <c r="C61" s="175"/>
      <c r="D61" s="176"/>
      <c r="E61" s="174"/>
      <c r="F61" s="174"/>
      <c r="G61" s="173"/>
    </row>
    <row r="62" spans="2:7" s="138" customFormat="1" ht="15" customHeight="1" x14ac:dyDescent="0.25">
      <c r="B62" s="174"/>
      <c r="C62" s="175" t="s">
        <v>190</v>
      </c>
      <c r="D62" s="174">
        <f>+SUM(D52:D61)</f>
        <v>900</v>
      </c>
      <c r="E62" s="174"/>
      <c r="F62" s="174"/>
      <c r="G62" s="173"/>
    </row>
    <row r="63" spans="2:7" ht="18.75" x14ac:dyDescent="0.25">
      <c r="B63" s="210" t="s">
        <v>193</v>
      </c>
      <c r="C63" s="211"/>
      <c r="D63" s="211"/>
      <c r="E63" s="211"/>
      <c r="F63" s="211"/>
      <c r="G63" s="212"/>
    </row>
    <row r="64" spans="2:7" ht="45" x14ac:dyDescent="0.25">
      <c r="B64" s="153" t="s">
        <v>184</v>
      </c>
      <c r="C64" s="153" t="s">
        <v>185</v>
      </c>
      <c r="D64" s="153" t="s">
        <v>186</v>
      </c>
      <c r="E64" s="127" t="s">
        <v>187</v>
      </c>
      <c r="F64" s="127" t="s">
        <v>188</v>
      </c>
      <c r="G64" s="153" t="s">
        <v>202</v>
      </c>
    </row>
    <row r="65" spans="2:7" ht="15" customHeight="1" x14ac:dyDescent="0.25">
      <c r="B65" s="132">
        <v>1</v>
      </c>
      <c r="C65" s="131">
        <v>44898</v>
      </c>
      <c r="D65" s="132">
        <v>1200</v>
      </c>
      <c r="E65" s="132"/>
      <c r="F65" s="132">
        <f>D65-E65</f>
        <v>1200</v>
      </c>
      <c r="G65" s="132">
        <v>2751</v>
      </c>
    </row>
    <row r="66" spans="2:7" ht="15" customHeight="1" x14ac:dyDescent="0.25">
      <c r="B66" s="132">
        <v>2</v>
      </c>
      <c r="C66" s="131">
        <v>44901</v>
      </c>
      <c r="D66" s="132"/>
      <c r="E66" s="132">
        <v>364</v>
      </c>
      <c r="F66" s="132">
        <f>F65+D66-E66</f>
        <v>836</v>
      </c>
      <c r="G66" s="132"/>
    </row>
    <row r="67" spans="2:7" ht="15" customHeight="1" x14ac:dyDescent="0.25">
      <c r="B67" s="132">
        <v>3</v>
      </c>
      <c r="C67" s="131">
        <v>44909</v>
      </c>
      <c r="D67" s="132"/>
      <c r="E67" s="132">
        <v>165</v>
      </c>
      <c r="F67" s="132">
        <f>F66+D67-E67</f>
        <v>671</v>
      </c>
      <c r="G67" s="132"/>
    </row>
    <row r="68" spans="2:7" ht="15" customHeight="1" x14ac:dyDescent="0.25">
      <c r="B68" s="132">
        <v>4</v>
      </c>
      <c r="C68" s="131">
        <v>44915</v>
      </c>
      <c r="D68" s="132">
        <v>600</v>
      </c>
      <c r="E68" s="132">
        <v>250</v>
      </c>
      <c r="F68" s="132">
        <f>F67+D68-E68</f>
        <v>1021</v>
      </c>
      <c r="G68" s="132">
        <v>2757</v>
      </c>
    </row>
    <row r="69" spans="2:7" ht="15" customHeight="1" x14ac:dyDescent="0.25">
      <c r="B69" s="132">
        <v>5</v>
      </c>
      <c r="C69" s="131"/>
      <c r="D69" s="132"/>
      <c r="E69" s="132"/>
      <c r="F69" s="132"/>
      <c r="G69" s="132"/>
    </row>
    <row r="70" spans="2:7" ht="15" customHeight="1" x14ac:dyDescent="0.25">
      <c r="B70" s="132">
        <v>6</v>
      </c>
      <c r="C70" s="131">
        <v>44931</v>
      </c>
      <c r="D70" s="132">
        <v>1000</v>
      </c>
      <c r="E70" s="132"/>
      <c r="F70" s="132"/>
      <c r="G70" s="132">
        <v>2761</v>
      </c>
    </row>
    <row r="71" spans="2:7" ht="15" customHeight="1" x14ac:dyDescent="0.25">
      <c r="B71" s="132"/>
      <c r="C71" s="131"/>
      <c r="D71" s="132"/>
      <c r="E71" s="132"/>
      <c r="F71" s="132"/>
      <c r="G71" s="132"/>
    </row>
    <row r="72" spans="2:7" s="138" customFormat="1" ht="15" customHeight="1" x14ac:dyDescent="0.25">
      <c r="B72" s="132"/>
      <c r="C72" s="131"/>
      <c r="D72" s="132"/>
      <c r="E72" s="132"/>
      <c r="F72" s="132"/>
      <c r="G72" s="132"/>
    </row>
    <row r="73" spans="2:7" s="138" customFormat="1" ht="15" customHeight="1" x14ac:dyDescent="0.25">
      <c r="B73" s="132"/>
      <c r="C73" s="131"/>
      <c r="D73" s="132"/>
      <c r="E73" s="132"/>
      <c r="F73" s="132"/>
      <c r="G73" s="173"/>
    </row>
    <row r="74" spans="2:7" s="138" customFormat="1" ht="15" customHeight="1" x14ac:dyDescent="0.25">
      <c r="B74" s="132"/>
      <c r="C74" s="131"/>
      <c r="D74" s="132"/>
      <c r="E74" s="132"/>
      <c r="F74" s="132"/>
      <c r="G74" s="173"/>
    </row>
    <row r="75" spans="2:7" s="138" customFormat="1" ht="15" customHeight="1" x14ac:dyDescent="0.25">
      <c r="B75" s="132"/>
      <c r="C75" s="131" t="s">
        <v>381</v>
      </c>
      <c r="D75" s="132">
        <f>+SUM(D65:D74)</f>
        <v>2800</v>
      </c>
      <c r="E75" s="132"/>
      <c r="F75" s="132"/>
      <c r="G75" s="173"/>
    </row>
    <row r="76" spans="2:7" ht="18.75" x14ac:dyDescent="0.25">
      <c r="B76" s="210" t="s">
        <v>194</v>
      </c>
      <c r="C76" s="211"/>
      <c r="D76" s="211"/>
      <c r="E76" s="211"/>
      <c r="F76" s="211"/>
      <c r="G76" s="212"/>
    </row>
    <row r="77" spans="2:7" ht="45" x14ac:dyDescent="0.25">
      <c r="B77" s="153" t="s">
        <v>184</v>
      </c>
      <c r="C77" s="153" t="s">
        <v>185</v>
      </c>
      <c r="D77" s="153" t="s">
        <v>186</v>
      </c>
      <c r="E77" s="127" t="s">
        <v>187</v>
      </c>
      <c r="F77" s="127" t="s">
        <v>188</v>
      </c>
      <c r="G77" s="153" t="s">
        <v>202</v>
      </c>
    </row>
    <row r="78" spans="2:7" ht="15" customHeight="1" x14ac:dyDescent="0.25">
      <c r="B78" s="132"/>
      <c r="C78" s="131"/>
      <c r="D78" s="132"/>
      <c r="E78" s="132"/>
      <c r="F78" s="132"/>
      <c r="G78" s="132"/>
    </row>
    <row r="79" spans="2:7" ht="15" customHeight="1" x14ac:dyDescent="0.25">
      <c r="B79" s="132"/>
      <c r="C79" s="131"/>
      <c r="D79" s="132"/>
      <c r="E79" s="132"/>
      <c r="F79" s="132"/>
      <c r="G79" s="132"/>
    </row>
    <row r="80" spans="2:7" ht="15" customHeight="1" x14ac:dyDescent="0.25">
      <c r="B80" s="132"/>
      <c r="C80" s="131"/>
      <c r="D80" s="132"/>
      <c r="E80" s="132"/>
      <c r="F80" s="132"/>
      <c r="G80" s="132"/>
    </row>
    <row r="81" spans="2:7" ht="15" customHeight="1" x14ac:dyDescent="0.25">
      <c r="B81" s="132"/>
      <c r="C81" s="131"/>
      <c r="D81" s="132"/>
      <c r="E81" s="132"/>
      <c r="F81" s="132"/>
      <c r="G81" s="132"/>
    </row>
    <row r="82" spans="2:7" ht="15" customHeight="1" x14ac:dyDescent="0.25">
      <c r="B82" s="132"/>
      <c r="C82" s="131"/>
      <c r="D82" s="132"/>
      <c r="E82" s="132"/>
      <c r="F82" s="132"/>
      <c r="G82" s="132"/>
    </row>
    <row r="83" spans="2:7" ht="15" customHeight="1" x14ac:dyDescent="0.25">
      <c r="B83" s="132"/>
      <c r="C83" s="131"/>
      <c r="D83" s="132"/>
      <c r="E83" s="132"/>
      <c r="F83" s="132"/>
      <c r="G83" s="132"/>
    </row>
    <row r="84" spans="2:7" ht="15" customHeight="1" x14ac:dyDescent="0.25">
      <c r="B84" s="132"/>
      <c r="C84" s="131"/>
      <c r="D84" s="132"/>
      <c r="E84" s="132"/>
      <c r="F84" s="132"/>
      <c r="G84" s="132"/>
    </row>
    <row r="85" spans="2:7" s="138" customFormat="1" ht="15" customHeight="1" x14ac:dyDescent="0.25">
      <c r="B85" s="132"/>
      <c r="C85" s="131"/>
      <c r="D85" s="132"/>
      <c r="E85" s="132"/>
      <c r="F85" s="132"/>
      <c r="G85" s="132"/>
    </row>
    <row r="86" spans="2:7" ht="18.75" x14ac:dyDescent="0.25">
      <c r="B86" s="210" t="s">
        <v>195</v>
      </c>
      <c r="C86" s="211"/>
      <c r="D86" s="211"/>
      <c r="E86" s="211"/>
      <c r="F86" s="211"/>
      <c r="G86" s="212"/>
    </row>
    <row r="87" spans="2:7" ht="45" x14ac:dyDescent="0.25">
      <c r="B87" s="153" t="s">
        <v>184</v>
      </c>
      <c r="C87" s="153" t="s">
        <v>185</v>
      </c>
      <c r="D87" s="153" t="s">
        <v>186</v>
      </c>
      <c r="E87" s="127" t="s">
        <v>187</v>
      </c>
      <c r="F87" s="127" t="s">
        <v>188</v>
      </c>
      <c r="G87" s="153" t="s">
        <v>202</v>
      </c>
    </row>
    <row r="88" spans="2:7" ht="15" customHeight="1" x14ac:dyDescent="0.25">
      <c r="B88" s="132">
        <v>1</v>
      </c>
      <c r="C88" s="131">
        <v>44905</v>
      </c>
      <c r="D88" s="132">
        <v>732</v>
      </c>
      <c r="E88" s="132"/>
      <c r="F88" s="132">
        <f>D88-E88</f>
        <v>732</v>
      </c>
      <c r="G88" s="132">
        <v>2754</v>
      </c>
    </row>
    <row r="89" spans="2:7" ht="15" customHeight="1" x14ac:dyDescent="0.25">
      <c r="B89" s="132">
        <v>2</v>
      </c>
      <c r="C89" s="131">
        <v>44917</v>
      </c>
      <c r="D89" s="132"/>
      <c r="E89" s="132">
        <v>233</v>
      </c>
      <c r="F89" s="132">
        <f>F88+D89-E89</f>
        <v>499</v>
      </c>
      <c r="G89" s="132"/>
    </row>
    <row r="90" spans="2:7" ht="15" customHeight="1" x14ac:dyDescent="0.25">
      <c r="B90" s="132">
        <v>3</v>
      </c>
      <c r="C90" s="131">
        <v>44919</v>
      </c>
      <c r="D90" s="132"/>
      <c r="E90" s="132">
        <v>85</v>
      </c>
      <c r="F90" s="132">
        <f>F89+D90-E90</f>
        <v>414</v>
      </c>
      <c r="G90" s="132"/>
    </row>
    <row r="91" spans="2:7" ht="15" customHeight="1" x14ac:dyDescent="0.25">
      <c r="B91" s="132"/>
      <c r="C91" s="131"/>
      <c r="D91" s="132"/>
      <c r="E91" s="132"/>
      <c r="F91" s="132"/>
      <c r="G91" s="132"/>
    </row>
    <row r="92" spans="2:7" ht="15" customHeight="1" x14ac:dyDescent="0.25">
      <c r="B92" s="132"/>
      <c r="C92" s="131"/>
      <c r="D92" s="132"/>
      <c r="E92" s="132"/>
      <c r="F92" s="132"/>
      <c r="G92" s="132"/>
    </row>
    <row r="93" spans="2:7" ht="15" customHeight="1" x14ac:dyDescent="0.25">
      <c r="B93" s="132"/>
      <c r="C93" s="131"/>
      <c r="D93" s="132"/>
      <c r="E93" s="132"/>
      <c r="F93" s="132"/>
      <c r="G93" s="132"/>
    </row>
    <row r="94" spans="2:7" ht="15" customHeight="1" x14ac:dyDescent="0.25">
      <c r="B94" s="132"/>
      <c r="C94" s="131"/>
      <c r="D94" s="132"/>
      <c r="E94" s="132"/>
      <c r="F94" s="132"/>
      <c r="G94" s="132"/>
    </row>
    <row r="95" spans="2:7" s="138" customFormat="1" ht="15" customHeight="1" x14ac:dyDescent="0.25">
      <c r="B95" s="132"/>
      <c r="C95" s="131" t="s">
        <v>381</v>
      </c>
      <c r="D95" s="132">
        <f>+SUM(D88:D94)</f>
        <v>732</v>
      </c>
      <c r="E95" s="132"/>
      <c r="F95" s="132"/>
      <c r="G95" s="132"/>
    </row>
    <row r="96" spans="2:7" ht="18.75" x14ac:dyDescent="0.25">
      <c r="B96" s="210" t="s">
        <v>196</v>
      </c>
      <c r="C96" s="211"/>
      <c r="D96" s="211"/>
      <c r="E96" s="211"/>
      <c r="F96" s="211"/>
      <c r="G96" s="212"/>
    </row>
    <row r="97" spans="2:8" ht="45" x14ac:dyDescent="0.25">
      <c r="B97" s="153" t="s">
        <v>184</v>
      </c>
      <c r="C97" s="153" t="s">
        <v>185</v>
      </c>
      <c r="D97" s="153" t="s">
        <v>186</v>
      </c>
      <c r="E97" s="127" t="s">
        <v>187</v>
      </c>
      <c r="F97" s="127" t="s">
        <v>188</v>
      </c>
      <c r="G97" s="153" t="s">
        <v>202</v>
      </c>
    </row>
    <row r="98" spans="2:8" ht="15" customHeight="1" x14ac:dyDescent="0.25">
      <c r="B98" s="132">
        <v>1</v>
      </c>
      <c r="C98" s="131">
        <v>44905</v>
      </c>
      <c r="D98" s="132">
        <v>2220</v>
      </c>
      <c r="E98" s="132"/>
      <c r="F98" s="132">
        <f>D98-E98</f>
        <v>2220</v>
      </c>
      <c r="G98" s="132">
        <v>2754</v>
      </c>
    </row>
    <row r="99" spans="2:8" ht="15" customHeight="1" x14ac:dyDescent="0.25">
      <c r="B99" s="132">
        <v>2</v>
      </c>
      <c r="C99" s="131">
        <v>44906</v>
      </c>
      <c r="D99" s="132"/>
      <c r="E99" s="132">
        <v>200</v>
      </c>
      <c r="F99" s="132">
        <f>F98+D99-E99</f>
        <v>2020</v>
      </c>
      <c r="G99" s="132"/>
    </row>
    <row r="100" spans="2:8" ht="15" customHeight="1" x14ac:dyDescent="0.25">
      <c r="B100" s="132">
        <v>3</v>
      </c>
      <c r="C100" s="131">
        <v>44907</v>
      </c>
      <c r="D100" s="132"/>
      <c r="E100" s="132">
        <v>155</v>
      </c>
      <c r="F100" s="132">
        <f>F99+D100-E100</f>
        <v>1865</v>
      </c>
      <c r="G100" s="132"/>
    </row>
    <row r="101" spans="2:8" ht="15" customHeight="1" x14ac:dyDescent="0.25">
      <c r="B101" s="132">
        <v>4</v>
      </c>
      <c r="C101" s="131">
        <v>44909</v>
      </c>
      <c r="D101" s="132"/>
      <c r="E101" s="132">
        <v>48</v>
      </c>
      <c r="F101" s="132">
        <f>F100+D101-E101</f>
        <v>1817</v>
      </c>
      <c r="G101" s="132"/>
    </row>
    <row r="102" spans="2:8" ht="15" customHeight="1" x14ac:dyDescent="0.25">
      <c r="B102" s="132">
        <v>5</v>
      </c>
      <c r="C102" s="131">
        <v>44910</v>
      </c>
      <c r="D102" s="132"/>
      <c r="E102" s="132">
        <v>240</v>
      </c>
      <c r="F102" s="132">
        <f>F101+D102-E102</f>
        <v>1577</v>
      </c>
      <c r="G102" s="132"/>
    </row>
    <row r="103" spans="2:8" ht="15" customHeight="1" x14ac:dyDescent="0.25">
      <c r="B103" s="132">
        <v>6</v>
      </c>
      <c r="C103" s="131">
        <v>44917</v>
      </c>
      <c r="D103" s="132"/>
      <c r="E103" s="132">
        <v>185</v>
      </c>
      <c r="F103" s="132">
        <f>F102+D103-E103</f>
        <v>1392</v>
      </c>
      <c r="G103" s="132"/>
    </row>
    <row r="104" spans="2:8" ht="15" customHeight="1" x14ac:dyDescent="0.25">
      <c r="B104" s="132"/>
      <c r="C104" s="131"/>
      <c r="D104" s="132"/>
      <c r="E104" s="132"/>
      <c r="F104" s="132"/>
      <c r="G104" s="132"/>
    </row>
    <row r="105" spans="2:8" s="138" customFormat="1" ht="15" customHeight="1" x14ac:dyDescent="0.25">
      <c r="B105" s="132"/>
      <c r="C105" s="131" t="s">
        <v>381</v>
      </c>
      <c r="D105" s="132">
        <f>+SUM(D98:D104)</f>
        <v>2220</v>
      </c>
      <c r="E105" s="132"/>
      <c r="F105" s="132"/>
      <c r="G105" s="132"/>
    </row>
    <row r="106" spans="2:8" ht="18.75" x14ac:dyDescent="0.25">
      <c r="B106" s="219"/>
      <c r="C106" s="219"/>
      <c r="D106" s="219"/>
      <c r="E106"/>
      <c r="F106"/>
      <c r="G106" s="139"/>
    </row>
    <row r="107" spans="2:8" ht="45" x14ac:dyDescent="0.25">
      <c r="B107" s="213" t="s">
        <v>197</v>
      </c>
      <c r="C107" s="213"/>
      <c r="D107" s="140" t="s">
        <v>198</v>
      </c>
      <c r="E107" s="141" t="s">
        <v>199</v>
      </c>
      <c r="F107" s="141" t="s">
        <v>200</v>
      </c>
      <c r="G107" s="141" t="s">
        <v>201</v>
      </c>
      <c r="H107" s="141" t="s">
        <v>202</v>
      </c>
    </row>
    <row r="108" spans="2:8" x14ac:dyDescent="0.25">
      <c r="B108" s="204" t="s">
        <v>204</v>
      </c>
      <c r="C108" s="204"/>
      <c r="D108" s="143" t="s">
        <v>205</v>
      </c>
      <c r="E108" s="177">
        <v>5</v>
      </c>
      <c r="F108" s="177"/>
      <c r="G108" s="177">
        <f>E108-F108</f>
        <v>5</v>
      </c>
      <c r="H108" s="177"/>
    </row>
    <row r="109" spans="2:8" x14ac:dyDescent="0.25">
      <c r="B109" s="204"/>
      <c r="C109" s="204"/>
      <c r="D109" s="143" t="s">
        <v>208</v>
      </c>
      <c r="E109" s="177">
        <f>2+4+1+3</f>
        <v>10</v>
      </c>
      <c r="F109" s="177">
        <v>2</v>
      </c>
      <c r="G109" s="177">
        <f>E109-F109</f>
        <v>8</v>
      </c>
      <c r="H109" s="177" t="s">
        <v>382</v>
      </c>
    </row>
    <row r="110" spans="2:8" x14ac:dyDescent="0.25">
      <c r="B110" s="204"/>
      <c r="C110" s="204"/>
      <c r="D110" s="143" t="s">
        <v>210</v>
      </c>
      <c r="E110" s="177">
        <f>1+2+1</f>
        <v>4</v>
      </c>
      <c r="F110" s="177"/>
      <c r="G110" s="177">
        <f>E110-F110</f>
        <v>4</v>
      </c>
      <c r="H110" s="177"/>
    </row>
    <row r="111" spans="2:8" x14ac:dyDescent="0.25">
      <c r="B111" s="204"/>
      <c r="C111" s="204"/>
      <c r="D111" s="143" t="s">
        <v>213</v>
      </c>
      <c r="E111" s="177">
        <v>1</v>
      </c>
      <c r="F111" s="177">
        <v>1</v>
      </c>
      <c r="G111" s="177">
        <f>E111-F111</f>
        <v>0</v>
      </c>
      <c r="H111" s="177" t="s">
        <v>383</v>
      </c>
    </row>
    <row r="112" spans="2:8" x14ac:dyDescent="0.25">
      <c r="B112" s="204"/>
      <c r="C112" s="204"/>
      <c r="D112" s="143" t="s">
        <v>216</v>
      </c>
      <c r="E112" s="177"/>
      <c r="F112" s="177"/>
      <c r="G112" s="177"/>
      <c r="H112" s="177"/>
    </row>
    <row r="113" spans="2:8" x14ac:dyDescent="0.25">
      <c r="B113" s="204"/>
      <c r="C113" s="204"/>
      <c r="D113" s="143" t="s">
        <v>217</v>
      </c>
      <c r="E113" s="177">
        <v>1</v>
      </c>
      <c r="F113" s="177">
        <v>1</v>
      </c>
      <c r="G113" s="177">
        <f>E113-F113</f>
        <v>0</v>
      </c>
      <c r="H113" s="177" t="s">
        <v>384</v>
      </c>
    </row>
    <row r="114" spans="2:8" x14ac:dyDescent="0.25">
      <c r="B114" s="204"/>
      <c r="C114" s="204"/>
      <c r="D114" s="143" t="s">
        <v>218</v>
      </c>
      <c r="E114" s="177">
        <f>2+1</f>
        <v>3</v>
      </c>
      <c r="F114" s="177">
        <f>1+1</f>
        <v>2</v>
      </c>
      <c r="G114" s="177">
        <f>E114-F114</f>
        <v>1</v>
      </c>
      <c r="H114" s="177" t="s">
        <v>385</v>
      </c>
    </row>
    <row r="115" spans="2:8" x14ac:dyDescent="0.25">
      <c r="B115" s="204"/>
      <c r="C115" s="204"/>
      <c r="D115" s="143" t="s">
        <v>219</v>
      </c>
      <c r="E115" s="177"/>
      <c r="F115" s="177"/>
      <c r="G115" s="177"/>
      <c r="H115" s="177"/>
    </row>
    <row r="116" spans="2:8" x14ac:dyDescent="0.25">
      <c r="B116" s="204"/>
      <c r="C116" s="204"/>
      <c r="D116" s="143" t="s">
        <v>220</v>
      </c>
      <c r="E116" s="177"/>
      <c r="F116" s="177"/>
      <c r="G116" s="177"/>
      <c r="H116" s="177"/>
    </row>
    <row r="117" spans="2:8" x14ac:dyDescent="0.25">
      <c r="B117" s="204" t="s">
        <v>54</v>
      </c>
      <c r="C117" s="204"/>
      <c r="D117" s="143" t="s">
        <v>221</v>
      </c>
      <c r="E117" s="177"/>
      <c r="F117" s="177"/>
      <c r="G117" s="177"/>
      <c r="H117" s="177"/>
    </row>
    <row r="118" spans="2:8" x14ac:dyDescent="0.25">
      <c r="B118" s="204"/>
      <c r="C118" s="204"/>
      <c r="D118" s="143" t="s">
        <v>222</v>
      </c>
      <c r="E118" s="177"/>
      <c r="F118" s="177"/>
      <c r="G118" s="177"/>
      <c r="H118" s="177"/>
    </row>
    <row r="119" spans="2:8" x14ac:dyDescent="0.25">
      <c r="B119" s="204"/>
      <c r="C119" s="204"/>
      <c r="D119" s="143" t="s">
        <v>223</v>
      </c>
      <c r="E119" s="177"/>
      <c r="F119" s="177"/>
      <c r="G119" s="177"/>
      <c r="H119" s="177"/>
    </row>
    <row r="120" spans="2:8" x14ac:dyDescent="0.25">
      <c r="B120" s="204"/>
      <c r="C120" s="204"/>
      <c r="D120" s="143" t="s">
        <v>224</v>
      </c>
      <c r="E120" s="177"/>
      <c r="F120" s="177"/>
      <c r="G120" s="177"/>
      <c r="H120" s="177"/>
    </row>
    <row r="121" spans="2:8" x14ac:dyDescent="0.25">
      <c r="B121" s="204"/>
      <c r="C121" s="204"/>
      <c r="D121" s="143" t="s">
        <v>225</v>
      </c>
      <c r="E121" s="177"/>
      <c r="F121" s="177"/>
      <c r="G121" s="177"/>
      <c r="H121" s="177"/>
    </row>
    <row r="122" spans="2:8" x14ac:dyDescent="0.25">
      <c r="B122" s="204"/>
      <c r="C122" s="204"/>
      <c r="D122" s="143" t="s">
        <v>226</v>
      </c>
      <c r="E122" s="177"/>
      <c r="F122" s="177"/>
      <c r="G122" s="177"/>
      <c r="H122" s="177"/>
    </row>
    <row r="123" spans="2:8" x14ac:dyDescent="0.25">
      <c r="B123" s="204"/>
      <c r="C123" s="204"/>
      <c r="D123" s="143" t="s">
        <v>227</v>
      </c>
      <c r="E123" s="177"/>
      <c r="F123" s="177"/>
      <c r="G123" s="177"/>
      <c r="H123" s="177"/>
    </row>
    <row r="124" spans="2:8" ht="60" x14ac:dyDescent="0.25">
      <c r="B124" s="204"/>
      <c r="C124" s="204"/>
      <c r="D124" s="143" t="s">
        <v>228</v>
      </c>
      <c r="E124" s="177">
        <f>3+6+8</f>
        <v>17</v>
      </c>
      <c r="F124" s="177">
        <v>13</v>
      </c>
      <c r="G124" s="177">
        <f t="shared" ref="G124:G129" si="6">E124-F124</f>
        <v>4</v>
      </c>
      <c r="H124" s="178" t="s">
        <v>386</v>
      </c>
    </row>
    <row r="125" spans="2:8" x14ac:dyDescent="0.25">
      <c r="B125" s="204"/>
      <c r="C125" s="204"/>
      <c r="D125" s="143" t="s">
        <v>230</v>
      </c>
      <c r="E125" s="177">
        <v>1</v>
      </c>
      <c r="F125" s="177"/>
      <c r="G125" s="177">
        <f t="shared" si="6"/>
        <v>1</v>
      </c>
      <c r="H125" s="179"/>
    </row>
    <row r="126" spans="2:8" x14ac:dyDescent="0.25">
      <c r="B126" s="204"/>
      <c r="C126" s="204"/>
      <c r="D126" s="143" t="s">
        <v>233</v>
      </c>
      <c r="E126" s="177">
        <v>2</v>
      </c>
      <c r="F126" s="177"/>
      <c r="G126" s="177">
        <f t="shared" si="6"/>
        <v>2</v>
      </c>
      <c r="H126" s="177"/>
    </row>
    <row r="127" spans="2:8" x14ac:dyDescent="0.25">
      <c r="B127" s="204"/>
      <c r="C127" s="204"/>
      <c r="D127" s="143" t="s">
        <v>235</v>
      </c>
      <c r="E127" s="177">
        <v>5</v>
      </c>
      <c r="F127" s="177">
        <f>4+1</f>
        <v>5</v>
      </c>
      <c r="G127" s="177">
        <f t="shared" si="6"/>
        <v>0</v>
      </c>
      <c r="H127" s="177" t="s">
        <v>387</v>
      </c>
    </row>
    <row r="128" spans="2:8" x14ac:dyDescent="0.25">
      <c r="B128" s="204"/>
      <c r="C128" s="204"/>
      <c r="D128" s="143" t="s">
        <v>238</v>
      </c>
      <c r="E128" s="177">
        <v>2</v>
      </c>
      <c r="F128" s="177">
        <v>2</v>
      </c>
      <c r="G128" s="177">
        <f t="shared" si="6"/>
        <v>0</v>
      </c>
      <c r="H128" s="177" t="s">
        <v>388</v>
      </c>
    </row>
    <row r="129" spans="2:8" x14ac:dyDescent="0.25">
      <c r="B129" s="204"/>
      <c r="C129" s="204"/>
      <c r="D129" s="143" t="s">
        <v>239</v>
      </c>
      <c r="E129" s="177">
        <v>3</v>
      </c>
      <c r="F129" s="177">
        <v>1</v>
      </c>
      <c r="G129" s="177">
        <f t="shared" si="6"/>
        <v>2</v>
      </c>
      <c r="H129" s="177" t="s">
        <v>389</v>
      </c>
    </row>
    <row r="130" spans="2:8" x14ac:dyDescent="0.25">
      <c r="B130" s="204"/>
      <c r="C130" s="204"/>
      <c r="D130" s="143" t="s">
        <v>242</v>
      </c>
      <c r="E130" s="177"/>
      <c r="F130" s="177"/>
      <c r="G130" s="177"/>
      <c r="H130" s="177"/>
    </row>
    <row r="131" spans="2:8" x14ac:dyDescent="0.25">
      <c r="B131" s="204"/>
      <c r="C131" s="204"/>
      <c r="D131" s="143" t="s">
        <v>243</v>
      </c>
      <c r="E131" s="177"/>
      <c r="F131" s="177"/>
      <c r="G131" s="177"/>
      <c r="H131" s="177"/>
    </row>
    <row r="132" spans="2:8" x14ac:dyDescent="0.25">
      <c r="B132" s="204"/>
      <c r="C132" s="204"/>
      <c r="D132" s="143" t="s">
        <v>244</v>
      </c>
      <c r="E132" s="177"/>
      <c r="F132" s="177"/>
      <c r="G132" s="177"/>
      <c r="H132" s="177"/>
    </row>
    <row r="133" spans="2:8" x14ac:dyDescent="0.25">
      <c r="B133" s="204"/>
      <c r="C133" s="204"/>
      <c r="D133" s="143" t="s">
        <v>245</v>
      </c>
      <c r="E133" s="177"/>
      <c r="F133" s="177"/>
      <c r="G133" s="177"/>
      <c r="H133" s="177"/>
    </row>
    <row r="134" spans="2:8" x14ac:dyDescent="0.25">
      <c r="B134" s="204"/>
      <c r="C134" s="204"/>
      <c r="D134" s="143" t="s">
        <v>246</v>
      </c>
      <c r="E134" s="177">
        <f>5+6</f>
        <v>11</v>
      </c>
      <c r="F134" s="177">
        <v>4</v>
      </c>
      <c r="G134" s="177">
        <f>E134-F134</f>
        <v>7</v>
      </c>
      <c r="H134" s="177" t="s">
        <v>390</v>
      </c>
    </row>
    <row r="135" spans="2:8" x14ac:dyDescent="0.25">
      <c r="B135" s="204"/>
      <c r="C135" s="204"/>
      <c r="D135" s="143" t="s">
        <v>249</v>
      </c>
      <c r="E135" s="177">
        <v>2</v>
      </c>
      <c r="F135" s="177"/>
      <c r="G135" s="177">
        <f>E135-F135</f>
        <v>2</v>
      </c>
      <c r="H135" s="179"/>
    </row>
    <row r="136" spans="2:8" x14ac:dyDescent="0.25">
      <c r="B136" s="204"/>
      <c r="C136" s="204"/>
      <c r="D136" s="143" t="s">
        <v>252</v>
      </c>
      <c r="E136" s="177"/>
      <c r="F136" s="177"/>
      <c r="G136" s="177"/>
      <c r="H136" s="177"/>
    </row>
    <row r="137" spans="2:8" x14ac:dyDescent="0.25">
      <c r="B137" s="204"/>
      <c r="C137" s="204"/>
      <c r="D137" s="143" t="s">
        <v>254</v>
      </c>
      <c r="E137" s="177"/>
      <c r="F137" s="177"/>
      <c r="G137" s="177"/>
      <c r="H137" s="177"/>
    </row>
    <row r="138" spans="2:8" x14ac:dyDescent="0.25">
      <c r="B138" s="204"/>
      <c r="C138" s="204"/>
      <c r="D138" s="143" t="s">
        <v>257</v>
      </c>
      <c r="E138" s="177"/>
      <c r="F138" s="177"/>
      <c r="G138" s="177"/>
      <c r="H138" s="177"/>
    </row>
    <row r="139" spans="2:8" x14ac:dyDescent="0.25">
      <c r="B139" s="204"/>
      <c r="C139" s="204"/>
      <c r="D139" s="143" t="s">
        <v>258</v>
      </c>
      <c r="E139" s="177">
        <f>3+1</f>
        <v>4</v>
      </c>
      <c r="F139" s="177">
        <f>1+1</f>
        <v>2</v>
      </c>
      <c r="G139" s="177">
        <f>E139-F139</f>
        <v>2</v>
      </c>
      <c r="H139" s="177" t="s">
        <v>391</v>
      </c>
    </row>
    <row r="140" spans="2:8" x14ac:dyDescent="0.25">
      <c r="B140" s="204"/>
      <c r="C140" s="204"/>
      <c r="D140" s="143" t="s">
        <v>259</v>
      </c>
      <c r="E140" s="177">
        <f>1+1</f>
        <v>2</v>
      </c>
      <c r="F140" s="177">
        <f>1+1</f>
        <v>2</v>
      </c>
      <c r="G140" s="177">
        <f>E140-F140</f>
        <v>0</v>
      </c>
      <c r="H140" s="177" t="s">
        <v>392</v>
      </c>
    </row>
    <row r="141" spans="2:8" x14ac:dyDescent="0.25">
      <c r="B141" s="204"/>
      <c r="C141" s="204"/>
      <c r="D141" s="143" t="s">
        <v>260</v>
      </c>
      <c r="E141" s="177"/>
      <c r="F141" s="177"/>
      <c r="G141" s="177"/>
      <c r="H141" s="177"/>
    </row>
    <row r="142" spans="2:8" x14ac:dyDescent="0.25">
      <c r="B142" s="204"/>
      <c r="C142" s="204"/>
      <c r="D142" s="143" t="s">
        <v>261</v>
      </c>
      <c r="E142" s="177"/>
      <c r="F142" s="177"/>
      <c r="G142" s="177"/>
      <c r="H142" s="177"/>
    </row>
    <row r="143" spans="2:8" x14ac:dyDescent="0.25">
      <c r="B143" s="204"/>
      <c r="C143" s="204"/>
      <c r="D143" s="143" t="s">
        <v>262</v>
      </c>
      <c r="E143" s="177"/>
      <c r="F143" s="177"/>
      <c r="G143" s="177"/>
      <c r="H143" s="177"/>
    </row>
    <row r="144" spans="2:8" x14ac:dyDescent="0.25">
      <c r="B144" s="204"/>
      <c r="C144" s="204"/>
      <c r="D144" s="143" t="s">
        <v>263</v>
      </c>
      <c r="E144" s="177"/>
      <c r="F144" s="177"/>
      <c r="G144" s="177"/>
      <c r="H144" s="177"/>
    </row>
    <row r="145" spans="2:8" x14ac:dyDescent="0.25">
      <c r="B145" s="204"/>
      <c r="C145" s="204"/>
      <c r="D145" s="143" t="s">
        <v>264</v>
      </c>
      <c r="E145" s="179"/>
      <c r="F145" s="179"/>
      <c r="G145" s="179"/>
      <c r="H145" s="179"/>
    </row>
    <row r="146" spans="2:8" x14ac:dyDescent="0.25">
      <c r="B146" s="204"/>
      <c r="C146" s="204"/>
      <c r="D146" s="143" t="s">
        <v>265</v>
      </c>
      <c r="E146" s="177"/>
      <c r="F146" s="177"/>
      <c r="G146" s="177"/>
      <c r="H146" s="177"/>
    </row>
    <row r="147" spans="2:8" x14ac:dyDescent="0.25">
      <c r="B147" s="204"/>
      <c r="C147" s="204"/>
      <c r="D147" s="143" t="s">
        <v>266</v>
      </c>
      <c r="E147" s="177"/>
      <c r="F147" s="177"/>
      <c r="G147" s="177"/>
      <c r="H147" s="177"/>
    </row>
    <row r="148" spans="2:8" x14ac:dyDescent="0.25">
      <c r="B148" s="204"/>
      <c r="C148" s="204"/>
      <c r="D148" s="143" t="s">
        <v>267</v>
      </c>
      <c r="E148" s="177"/>
      <c r="F148" s="177"/>
      <c r="G148" s="177"/>
      <c r="H148" s="177"/>
    </row>
    <row r="149" spans="2:8" x14ac:dyDescent="0.25">
      <c r="B149" s="204"/>
      <c r="C149" s="204"/>
      <c r="D149" s="143" t="s">
        <v>268</v>
      </c>
      <c r="E149" s="177"/>
      <c r="F149" s="177"/>
      <c r="G149" s="177"/>
      <c r="H149" s="177"/>
    </row>
    <row r="150" spans="2:8" x14ac:dyDescent="0.25">
      <c r="B150" s="204"/>
      <c r="C150" s="204"/>
      <c r="D150" s="143" t="s">
        <v>269</v>
      </c>
      <c r="E150" s="177"/>
      <c r="F150" s="177"/>
      <c r="G150" s="177"/>
      <c r="H150" s="177"/>
    </row>
    <row r="151" spans="2:8" x14ac:dyDescent="0.25">
      <c r="B151" s="204"/>
      <c r="C151" s="204"/>
      <c r="D151" s="143" t="s">
        <v>270</v>
      </c>
      <c r="E151" s="177"/>
      <c r="F151" s="177"/>
      <c r="G151" s="177"/>
      <c r="H151" s="177"/>
    </row>
    <row r="152" spans="2:8" x14ac:dyDescent="0.25">
      <c r="B152" s="204"/>
      <c r="C152" s="204"/>
      <c r="D152" s="143" t="s">
        <v>271</v>
      </c>
      <c r="E152" s="177"/>
      <c r="F152" s="177"/>
      <c r="G152" s="177"/>
      <c r="H152" s="177"/>
    </row>
    <row r="153" spans="2:8" x14ac:dyDescent="0.25">
      <c r="B153" s="204"/>
      <c r="C153" s="204"/>
      <c r="D153" s="143" t="s">
        <v>272</v>
      </c>
      <c r="E153" s="177"/>
      <c r="F153" s="177"/>
      <c r="G153" s="177"/>
      <c r="H153" s="177"/>
    </row>
    <row r="154" spans="2:8" x14ac:dyDescent="0.25">
      <c r="B154" s="204"/>
      <c r="C154" s="204"/>
      <c r="D154" s="143" t="s">
        <v>273</v>
      </c>
      <c r="E154" s="177"/>
      <c r="F154" s="177"/>
      <c r="G154" s="177"/>
      <c r="H154" s="177"/>
    </row>
    <row r="155" spans="2:8" x14ac:dyDescent="0.25">
      <c r="B155" s="204"/>
      <c r="C155" s="204"/>
      <c r="D155" s="143" t="s">
        <v>274</v>
      </c>
      <c r="E155" s="177"/>
      <c r="F155" s="177"/>
      <c r="G155" s="177"/>
      <c r="H155" s="177"/>
    </row>
    <row r="156" spans="2:8" x14ac:dyDescent="0.25">
      <c r="B156" s="204"/>
      <c r="C156" s="204"/>
      <c r="D156" s="143" t="s">
        <v>275</v>
      </c>
      <c r="E156" s="177"/>
      <c r="F156" s="177"/>
      <c r="G156" s="177"/>
      <c r="H156" s="177"/>
    </row>
    <row r="157" spans="2:8" x14ac:dyDescent="0.25">
      <c r="B157" s="204"/>
      <c r="C157" s="204"/>
      <c r="D157" s="143" t="s">
        <v>276</v>
      </c>
      <c r="E157" s="177"/>
      <c r="F157" s="177"/>
      <c r="G157" s="177"/>
      <c r="H157" s="177"/>
    </row>
    <row r="158" spans="2:8" x14ac:dyDescent="0.25">
      <c r="B158" s="204" t="s">
        <v>277</v>
      </c>
      <c r="C158" s="204"/>
      <c r="D158" s="143" t="s">
        <v>205</v>
      </c>
      <c r="E158" s="177"/>
      <c r="F158" s="177"/>
      <c r="G158" s="177"/>
      <c r="H158" s="177"/>
    </row>
    <row r="159" spans="2:8" x14ac:dyDescent="0.25">
      <c r="B159" s="204"/>
      <c r="C159" s="204"/>
      <c r="D159" s="143" t="s">
        <v>208</v>
      </c>
      <c r="E159" s="177"/>
      <c r="F159" s="177"/>
      <c r="G159" s="177"/>
      <c r="H159" s="177"/>
    </row>
    <row r="160" spans="2:8" x14ac:dyDescent="0.25">
      <c r="B160" s="204"/>
      <c r="C160" s="204"/>
      <c r="D160" s="143" t="s">
        <v>210</v>
      </c>
      <c r="E160" s="177">
        <v>1</v>
      </c>
      <c r="F160" s="177"/>
      <c r="G160" s="177">
        <f>E160-F160</f>
        <v>1</v>
      </c>
      <c r="H160" s="177"/>
    </row>
    <row r="161" spans="2:8" x14ac:dyDescent="0.25">
      <c r="B161" s="204"/>
      <c r="C161" s="204"/>
      <c r="D161" s="143" t="s">
        <v>213</v>
      </c>
      <c r="E161" s="177">
        <v>1</v>
      </c>
      <c r="F161" s="177"/>
      <c r="G161" s="177">
        <f>E161-F161</f>
        <v>1</v>
      </c>
      <c r="H161" s="177"/>
    </row>
    <row r="162" spans="2:8" x14ac:dyDescent="0.25">
      <c r="B162" s="204"/>
      <c r="C162" s="204"/>
      <c r="D162" s="143" t="s">
        <v>216</v>
      </c>
      <c r="E162" s="177"/>
      <c r="F162" s="177"/>
      <c r="G162" s="177"/>
      <c r="H162" s="177"/>
    </row>
    <row r="163" spans="2:8" x14ac:dyDescent="0.25">
      <c r="B163" s="204"/>
      <c r="C163" s="204"/>
      <c r="D163" s="143" t="s">
        <v>217</v>
      </c>
      <c r="E163" s="177"/>
      <c r="F163" s="177"/>
      <c r="G163" s="177"/>
      <c r="H163" s="177"/>
    </row>
    <row r="164" spans="2:8" x14ac:dyDescent="0.25">
      <c r="B164" s="204"/>
      <c r="C164" s="204"/>
      <c r="D164" s="143" t="s">
        <v>218</v>
      </c>
      <c r="E164" s="177">
        <v>1</v>
      </c>
      <c r="F164" s="177"/>
      <c r="G164" s="177">
        <f>E164-F164</f>
        <v>1</v>
      </c>
      <c r="H164" s="177"/>
    </row>
    <row r="165" spans="2:8" x14ac:dyDescent="0.25">
      <c r="B165" s="204"/>
      <c r="C165" s="204"/>
      <c r="D165" s="143" t="s">
        <v>219</v>
      </c>
      <c r="E165" s="177"/>
      <c r="F165" s="177"/>
      <c r="G165" s="177"/>
      <c r="H165" s="177"/>
    </row>
    <row r="166" spans="2:8" x14ac:dyDescent="0.25">
      <c r="B166" s="204"/>
      <c r="C166" s="204"/>
      <c r="D166" s="143" t="s">
        <v>220</v>
      </c>
      <c r="E166" s="177"/>
      <c r="F166" s="177"/>
      <c r="G166" s="177"/>
      <c r="H166" s="177"/>
    </row>
    <row r="167" spans="2:8" x14ac:dyDescent="0.25">
      <c r="B167" s="204" t="s">
        <v>278</v>
      </c>
      <c r="C167" s="204"/>
      <c r="D167" s="143" t="s">
        <v>279</v>
      </c>
      <c r="E167" s="177">
        <f>2+2</f>
        <v>4</v>
      </c>
      <c r="F167" s="177">
        <f>1+1</f>
        <v>2</v>
      </c>
      <c r="G167" s="177">
        <f t="shared" ref="G167:G172" si="7">E167-F167</f>
        <v>2</v>
      </c>
      <c r="H167" s="177" t="s">
        <v>393</v>
      </c>
    </row>
    <row r="168" spans="2:8" x14ac:dyDescent="0.25">
      <c r="B168" s="204"/>
      <c r="C168" s="204"/>
      <c r="D168" s="143" t="s">
        <v>282</v>
      </c>
      <c r="E168" s="177">
        <f>3+2</f>
        <v>5</v>
      </c>
      <c r="F168" s="177"/>
      <c r="G168" s="177">
        <f t="shared" si="7"/>
        <v>5</v>
      </c>
      <c r="H168" s="177"/>
    </row>
    <row r="169" spans="2:8" x14ac:dyDescent="0.25">
      <c r="B169" s="204"/>
      <c r="C169" s="204"/>
      <c r="D169" s="143" t="s">
        <v>285</v>
      </c>
      <c r="E169" s="177">
        <f>1+2</f>
        <v>3</v>
      </c>
      <c r="F169" s="177"/>
      <c r="G169" s="177">
        <f t="shared" si="7"/>
        <v>3</v>
      </c>
      <c r="H169" s="177"/>
    </row>
    <row r="170" spans="2:8" x14ac:dyDescent="0.25">
      <c r="B170" s="204"/>
      <c r="C170" s="204"/>
      <c r="D170" s="143" t="s">
        <v>288</v>
      </c>
      <c r="E170" s="144">
        <f>3+2</f>
        <v>5</v>
      </c>
      <c r="F170" s="144">
        <v>1</v>
      </c>
      <c r="G170" s="144">
        <f t="shared" si="7"/>
        <v>4</v>
      </c>
      <c r="H170" s="144" t="s">
        <v>383</v>
      </c>
    </row>
    <row r="171" spans="2:8" x14ac:dyDescent="0.25">
      <c r="B171" s="204"/>
      <c r="C171" s="204"/>
      <c r="D171" s="143" t="s">
        <v>290</v>
      </c>
      <c r="E171" s="177">
        <f>1+4</f>
        <v>5</v>
      </c>
      <c r="F171" s="177">
        <v>2</v>
      </c>
      <c r="G171" s="177">
        <f t="shared" si="7"/>
        <v>3</v>
      </c>
      <c r="H171" s="177" t="s">
        <v>394</v>
      </c>
    </row>
    <row r="172" spans="2:8" x14ac:dyDescent="0.25">
      <c r="B172" s="204"/>
      <c r="C172" s="204"/>
      <c r="D172" s="143" t="s">
        <v>293</v>
      </c>
      <c r="E172" s="177">
        <v>3</v>
      </c>
      <c r="F172" s="177">
        <v>0</v>
      </c>
      <c r="G172" s="177">
        <f t="shared" si="7"/>
        <v>3</v>
      </c>
      <c r="H172" s="177"/>
    </row>
    <row r="173" spans="2:8" x14ac:dyDescent="0.25">
      <c r="B173" s="204"/>
      <c r="C173" s="204"/>
      <c r="D173" s="143" t="s">
        <v>296</v>
      </c>
      <c r="E173" s="177"/>
      <c r="F173" s="177"/>
      <c r="G173" s="177"/>
      <c r="H173" s="177"/>
    </row>
    <row r="174" spans="2:8" x14ac:dyDescent="0.25">
      <c r="B174" s="204"/>
      <c r="C174" s="204"/>
      <c r="D174" s="143" t="s">
        <v>297</v>
      </c>
      <c r="E174" s="177"/>
      <c r="F174" s="177"/>
      <c r="G174" s="177"/>
      <c r="H174" s="177"/>
    </row>
    <row r="175" spans="2:8" x14ac:dyDescent="0.25">
      <c r="B175" s="204"/>
      <c r="C175" s="204"/>
      <c r="D175" s="143" t="s">
        <v>298</v>
      </c>
      <c r="E175" s="177"/>
      <c r="F175" s="177"/>
      <c r="G175" s="177"/>
      <c r="H175" s="177"/>
    </row>
    <row r="176" spans="2:8" x14ac:dyDescent="0.25">
      <c r="B176" s="204"/>
      <c r="C176" s="204"/>
      <c r="D176" s="143" t="s">
        <v>300</v>
      </c>
      <c r="E176" s="177"/>
      <c r="F176" s="177"/>
      <c r="G176" s="177"/>
      <c r="H176" s="177"/>
    </row>
    <row r="177" spans="2:8" x14ac:dyDescent="0.25">
      <c r="B177" s="204"/>
      <c r="C177" s="204"/>
      <c r="D177" s="143" t="s">
        <v>246</v>
      </c>
      <c r="E177" s="177">
        <v>1</v>
      </c>
      <c r="F177" s="177"/>
      <c r="G177" s="177">
        <f>E177-F177</f>
        <v>1</v>
      </c>
      <c r="H177" s="177"/>
    </row>
    <row r="178" spans="2:8" x14ac:dyDescent="0.25">
      <c r="B178" s="204"/>
      <c r="C178" s="204"/>
      <c r="D178" s="143" t="s">
        <v>249</v>
      </c>
      <c r="E178" s="177"/>
      <c r="F178" s="177"/>
      <c r="G178" s="177"/>
      <c r="H178" s="177"/>
    </row>
    <row r="179" spans="2:8" x14ac:dyDescent="0.25">
      <c r="B179" s="204"/>
      <c r="C179" s="204"/>
      <c r="D179" s="143" t="s">
        <v>252</v>
      </c>
      <c r="E179" s="177"/>
      <c r="F179" s="177"/>
      <c r="G179" s="177"/>
      <c r="H179" s="177"/>
    </row>
    <row r="180" spans="2:8" x14ac:dyDescent="0.25">
      <c r="B180" s="204"/>
      <c r="C180" s="204"/>
      <c r="D180" s="143" t="s">
        <v>254</v>
      </c>
      <c r="E180" s="177"/>
      <c r="F180" s="177"/>
      <c r="G180" s="177"/>
      <c r="H180" s="177"/>
    </row>
    <row r="181" spans="2:8" x14ac:dyDescent="0.25">
      <c r="B181" s="204"/>
      <c r="C181" s="204"/>
      <c r="D181" s="143" t="s">
        <v>301</v>
      </c>
      <c r="E181" s="177"/>
      <c r="F181" s="177"/>
      <c r="G181" s="177"/>
      <c r="H181" s="177"/>
    </row>
    <row r="182" spans="2:8" x14ac:dyDescent="0.25">
      <c r="B182" s="204"/>
      <c r="C182" s="204"/>
      <c r="D182" s="143" t="s">
        <v>258</v>
      </c>
      <c r="E182" s="177"/>
      <c r="F182" s="177"/>
      <c r="G182" s="177"/>
      <c r="H182" s="177"/>
    </row>
    <row r="183" spans="2:8" x14ac:dyDescent="0.25">
      <c r="B183" s="204"/>
      <c r="C183" s="204"/>
      <c r="D183" s="143" t="s">
        <v>259</v>
      </c>
      <c r="E183" s="177">
        <v>2</v>
      </c>
      <c r="F183" s="177"/>
      <c r="G183" s="177">
        <f>E183-F183</f>
        <v>2</v>
      </c>
      <c r="H183" s="177"/>
    </row>
    <row r="184" spans="2:8" x14ac:dyDescent="0.25">
      <c r="B184" s="204"/>
      <c r="C184" s="204"/>
      <c r="D184" s="143" t="s">
        <v>260</v>
      </c>
      <c r="E184" s="177"/>
      <c r="F184" s="177"/>
      <c r="G184" s="177"/>
      <c r="H184" s="177"/>
    </row>
    <row r="185" spans="2:8" x14ac:dyDescent="0.25">
      <c r="B185" s="204"/>
      <c r="C185" s="204"/>
      <c r="D185" s="143" t="s">
        <v>303</v>
      </c>
      <c r="E185" s="177">
        <f>1+2</f>
        <v>3</v>
      </c>
      <c r="F185" s="177">
        <f>1+1</f>
        <v>2</v>
      </c>
      <c r="G185" s="177">
        <f>E185-F185</f>
        <v>1</v>
      </c>
      <c r="H185" s="177" t="s">
        <v>385</v>
      </c>
    </row>
    <row r="186" spans="2:8" x14ac:dyDescent="0.25">
      <c r="B186" s="204"/>
      <c r="C186" s="204"/>
      <c r="D186" s="143" t="s">
        <v>304</v>
      </c>
      <c r="E186" s="177"/>
      <c r="F186" s="177"/>
      <c r="G186" s="177"/>
      <c r="H186" s="177"/>
    </row>
    <row r="187" spans="2:8" x14ac:dyDescent="0.25">
      <c r="B187" s="204"/>
      <c r="C187" s="204"/>
      <c r="D187" s="143" t="s">
        <v>305</v>
      </c>
      <c r="E187" s="177">
        <f>1+1</f>
        <v>2</v>
      </c>
      <c r="F187" s="177">
        <v>1</v>
      </c>
      <c r="G187" s="177">
        <f>E187-F187</f>
        <v>1</v>
      </c>
      <c r="H187" s="177" t="s">
        <v>395</v>
      </c>
    </row>
    <row r="188" spans="2:8" x14ac:dyDescent="0.25">
      <c r="B188" s="204"/>
      <c r="C188" s="204"/>
      <c r="D188" s="143" t="s">
        <v>306</v>
      </c>
      <c r="E188" s="177"/>
      <c r="F188" s="177"/>
      <c r="G188" s="177"/>
      <c r="H188" s="177"/>
    </row>
    <row r="189" spans="2:8" x14ac:dyDescent="0.25">
      <c r="B189" s="204"/>
      <c r="C189" s="204"/>
      <c r="D189" s="143" t="s">
        <v>307</v>
      </c>
      <c r="E189" s="177"/>
      <c r="F189" s="177"/>
      <c r="G189" s="177"/>
      <c r="H189" s="177"/>
    </row>
    <row r="190" spans="2:8" x14ac:dyDescent="0.25">
      <c r="B190" s="204"/>
      <c r="C190" s="204"/>
      <c r="D190" s="143" t="s">
        <v>308</v>
      </c>
      <c r="E190" s="177"/>
      <c r="F190" s="177"/>
      <c r="G190" s="177"/>
      <c r="H190" s="177"/>
    </row>
    <row r="191" spans="2:8" x14ac:dyDescent="0.25">
      <c r="B191" s="204"/>
      <c r="C191" s="204"/>
      <c r="D191" s="143" t="s">
        <v>309</v>
      </c>
      <c r="E191" s="177"/>
      <c r="F191" s="177"/>
      <c r="G191" s="177"/>
      <c r="H191" s="177"/>
    </row>
    <row r="192" spans="2:8" x14ac:dyDescent="0.25">
      <c r="B192" s="204"/>
      <c r="C192" s="204"/>
      <c r="D192" s="143" t="s">
        <v>310</v>
      </c>
      <c r="E192" s="177"/>
      <c r="F192" s="177"/>
      <c r="G192" s="177"/>
      <c r="H192" s="177"/>
    </row>
    <row r="193" spans="2:8" x14ac:dyDescent="0.25">
      <c r="B193" s="204"/>
      <c r="C193" s="204"/>
      <c r="D193" s="143" t="s">
        <v>311</v>
      </c>
      <c r="E193" s="177"/>
      <c r="F193" s="177"/>
      <c r="G193" s="177"/>
      <c r="H193" s="177"/>
    </row>
    <row r="194" spans="2:8" x14ac:dyDescent="0.25">
      <c r="B194" s="204"/>
      <c r="C194" s="204"/>
      <c r="D194" s="143" t="s">
        <v>312</v>
      </c>
      <c r="E194" s="177"/>
      <c r="F194" s="177"/>
      <c r="G194" s="177"/>
      <c r="H194" s="177"/>
    </row>
    <row r="195" spans="2:8" x14ac:dyDescent="0.25">
      <c r="B195" s="204"/>
      <c r="C195" s="204"/>
      <c r="D195" s="143" t="s">
        <v>313</v>
      </c>
      <c r="E195" s="177"/>
      <c r="F195" s="177"/>
      <c r="G195" s="177"/>
      <c r="H195" s="177"/>
    </row>
    <row r="196" spans="2:8" x14ac:dyDescent="0.25">
      <c r="B196" s="204"/>
      <c r="C196" s="204"/>
      <c r="D196" s="143" t="s">
        <v>314</v>
      </c>
      <c r="E196" s="177"/>
      <c r="F196" s="177"/>
      <c r="G196" s="177"/>
      <c r="H196" s="177"/>
    </row>
    <row r="197" spans="2:8" x14ac:dyDescent="0.25">
      <c r="B197" s="204"/>
      <c r="C197" s="204"/>
      <c r="D197" s="143" t="s">
        <v>315</v>
      </c>
      <c r="E197" s="177"/>
      <c r="F197" s="177"/>
      <c r="G197" s="177"/>
      <c r="H197" s="177"/>
    </row>
    <row r="198" spans="2:8" x14ac:dyDescent="0.25">
      <c r="B198" s="204"/>
      <c r="C198" s="204"/>
      <c r="D198" s="143" t="s">
        <v>316</v>
      </c>
      <c r="E198" s="177"/>
      <c r="F198" s="177"/>
      <c r="G198" s="177"/>
      <c r="H198" s="177"/>
    </row>
    <row r="199" spans="2:8" x14ac:dyDescent="0.25">
      <c r="B199" s="204"/>
      <c r="C199" s="204"/>
      <c r="D199" s="143" t="s">
        <v>317</v>
      </c>
      <c r="E199" s="177"/>
      <c r="F199" s="177"/>
      <c r="G199" s="177"/>
      <c r="H199" s="177"/>
    </row>
    <row r="200" spans="2:8" x14ac:dyDescent="0.25">
      <c r="B200" s="204"/>
      <c r="C200" s="204"/>
      <c r="D200" s="143" t="s">
        <v>318</v>
      </c>
      <c r="E200" s="177"/>
      <c r="F200" s="177"/>
      <c r="G200" s="177"/>
      <c r="H200" s="177"/>
    </row>
    <row r="201" spans="2:8" x14ac:dyDescent="0.25">
      <c r="B201" s="204" t="s">
        <v>319</v>
      </c>
      <c r="C201" s="204"/>
      <c r="D201" s="143" t="s">
        <v>205</v>
      </c>
      <c r="E201" s="177">
        <f>15+6+5+8+2</f>
        <v>36</v>
      </c>
      <c r="F201" s="177">
        <f>2+1+2+1</f>
        <v>6</v>
      </c>
      <c r="G201" s="177">
        <f>E201-F201</f>
        <v>30</v>
      </c>
      <c r="H201" s="177" t="s">
        <v>396</v>
      </c>
    </row>
    <row r="202" spans="2:8" x14ac:dyDescent="0.25">
      <c r="B202" s="204"/>
      <c r="C202" s="204"/>
      <c r="D202" s="143" t="s">
        <v>208</v>
      </c>
      <c r="E202" s="177">
        <v>1</v>
      </c>
      <c r="F202" s="177"/>
      <c r="G202" s="177">
        <f>E202-F202</f>
        <v>1</v>
      </c>
      <c r="H202" s="177"/>
    </row>
    <row r="203" spans="2:8" x14ac:dyDescent="0.25">
      <c r="B203" s="204"/>
      <c r="C203" s="204"/>
      <c r="D203" s="143" t="s">
        <v>210</v>
      </c>
      <c r="E203" s="177">
        <v>1</v>
      </c>
      <c r="F203" s="177"/>
      <c r="G203" s="177">
        <f>E203-F203</f>
        <v>1</v>
      </c>
      <c r="H203" s="177"/>
    </row>
    <row r="204" spans="2:8" x14ac:dyDescent="0.25">
      <c r="B204" s="204"/>
      <c r="C204" s="204"/>
      <c r="D204" s="143" t="s">
        <v>213</v>
      </c>
      <c r="E204" s="177"/>
      <c r="F204" s="177"/>
      <c r="G204" s="177"/>
      <c r="H204" s="177"/>
    </row>
    <row r="205" spans="2:8" x14ac:dyDescent="0.25">
      <c r="B205" s="204"/>
      <c r="C205" s="204"/>
      <c r="D205" s="143" t="s">
        <v>216</v>
      </c>
      <c r="E205" s="177"/>
      <c r="F205" s="177"/>
      <c r="G205" s="177"/>
      <c r="H205" s="177"/>
    </row>
    <row r="206" spans="2:8" x14ac:dyDescent="0.25">
      <c r="B206" s="204"/>
      <c r="C206" s="204"/>
      <c r="D206" s="143" t="s">
        <v>217</v>
      </c>
      <c r="E206" s="177"/>
      <c r="F206" s="177"/>
      <c r="G206" s="177"/>
      <c r="H206" s="177"/>
    </row>
    <row r="207" spans="2:8" x14ac:dyDescent="0.25">
      <c r="B207" s="204"/>
      <c r="C207" s="204"/>
      <c r="D207" s="143" t="s">
        <v>218</v>
      </c>
      <c r="E207" s="177"/>
      <c r="F207" s="177"/>
      <c r="G207" s="177"/>
      <c r="H207" s="177"/>
    </row>
    <row r="208" spans="2:8" x14ac:dyDescent="0.25">
      <c r="B208" s="204" t="s">
        <v>323</v>
      </c>
      <c r="C208" s="204" t="s">
        <v>205</v>
      </c>
      <c r="D208" s="143" t="s">
        <v>324</v>
      </c>
      <c r="E208" s="177"/>
      <c r="F208" s="177"/>
      <c r="G208" s="177"/>
      <c r="H208" s="177"/>
    </row>
    <row r="209" spans="2:8" x14ac:dyDescent="0.25">
      <c r="B209" s="204"/>
      <c r="C209" s="204"/>
      <c r="D209" s="143" t="s">
        <v>325</v>
      </c>
      <c r="E209" s="177"/>
      <c r="F209" s="177"/>
      <c r="G209" s="177"/>
      <c r="H209" s="177"/>
    </row>
    <row r="210" spans="2:8" x14ac:dyDescent="0.25">
      <c r="B210" s="204"/>
      <c r="C210" s="204" t="s">
        <v>208</v>
      </c>
      <c r="D210" s="143" t="s">
        <v>324</v>
      </c>
      <c r="E210" s="177"/>
      <c r="F210" s="177"/>
      <c r="G210" s="177"/>
      <c r="H210" s="177"/>
    </row>
    <row r="211" spans="2:8" x14ac:dyDescent="0.25">
      <c r="B211" s="204"/>
      <c r="C211" s="204"/>
      <c r="D211" s="143" t="s">
        <v>325</v>
      </c>
      <c r="E211" s="177"/>
      <c r="F211" s="177"/>
      <c r="G211" s="177"/>
      <c r="H211" s="177"/>
    </row>
    <row r="212" spans="2:8" x14ac:dyDescent="0.25">
      <c r="B212" s="204"/>
      <c r="C212" s="204" t="s">
        <v>210</v>
      </c>
      <c r="D212" s="143" t="s">
        <v>324</v>
      </c>
      <c r="E212" s="177"/>
      <c r="F212" s="177"/>
      <c r="G212" s="177"/>
      <c r="H212" s="177"/>
    </row>
    <row r="213" spans="2:8" x14ac:dyDescent="0.25">
      <c r="B213" s="204"/>
      <c r="C213" s="204"/>
      <c r="D213" s="143" t="s">
        <v>325</v>
      </c>
      <c r="E213" s="177"/>
      <c r="F213" s="177"/>
      <c r="G213" s="177"/>
      <c r="H213" s="177"/>
    </row>
    <row r="214" spans="2:8" x14ac:dyDescent="0.25">
      <c r="B214" s="204"/>
      <c r="C214" s="204" t="s">
        <v>213</v>
      </c>
      <c r="D214" s="143" t="s">
        <v>324</v>
      </c>
      <c r="E214" s="177"/>
      <c r="F214" s="177"/>
      <c r="G214" s="177"/>
      <c r="H214" s="177"/>
    </row>
    <row r="215" spans="2:8" x14ac:dyDescent="0.25">
      <c r="B215" s="204"/>
      <c r="C215" s="204"/>
      <c r="D215" s="143" t="s">
        <v>325</v>
      </c>
      <c r="E215" s="177"/>
      <c r="F215" s="177"/>
      <c r="G215" s="177"/>
      <c r="H215" s="177"/>
    </row>
    <row r="216" spans="2:8" x14ac:dyDescent="0.25">
      <c r="B216" s="204"/>
      <c r="C216" s="204" t="s">
        <v>216</v>
      </c>
      <c r="D216" s="143" t="s">
        <v>324</v>
      </c>
      <c r="E216" s="177"/>
      <c r="F216" s="177"/>
      <c r="G216" s="177"/>
      <c r="H216" s="177"/>
    </row>
    <row r="217" spans="2:8" x14ac:dyDescent="0.25">
      <c r="B217" s="204"/>
      <c r="C217" s="204"/>
      <c r="D217" s="143" t="s">
        <v>325</v>
      </c>
      <c r="E217" s="177"/>
      <c r="F217" s="177"/>
      <c r="G217" s="177"/>
      <c r="H217" s="177"/>
    </row>
    <row r="218" spans="2:8" x14ac:dyDescent="0.25">
      <c r="B218" s="204"/>
      <c r="C218" s="204" t="s">
        <v>217</v>
      </c>
      <c r="D218" s="143" t="s">
        <v>324</v>
      </c>
      <c r="E218" s="177"/>
      <c r="F218" s="177"/>
      <c r="G218" s="177"/>
      <c r="H218" s="177"/>
    </row>
    <row r="219" spans="2:8" x14ac:dyDescent="0.25">
      <c r="B219" s="204"/>
      <c r="C219" s="204"/>
      <c r="D219" s="143" t="s">
        <v>325</v>
      </c>
      <c r="E219" s="177"/>
      <c r="F219" s="177"/>
      <c r="G219" s="177"/>
      <c r="H219" s="177"/>
    </row>
    <row r="220" spans="2:8" x14ac:dyDescent="0.25">
      <c r="B220" s="204"/>
      <c r="C220" s="204" t="s">
        <v>218</v>
      </c>
      <c r="D220" s="143" t="s">
        <v>324</v>
      </c>
      <c r="E220" s="177"/>
      <c r="F220" s="177"/>
      <c r="G220" s="177"/>
      <c r="H220" s="177"/>
    </row>
    <row r="221" spans="2:8" x14ac:dyDescent="0.25">
      <c r="B221" s="204"/>
      <c r="C221" s="204"/>
      <c r="D221" s="143" t="s">
        <v>325</v>
      </c>
      <c r="E221" s="177"/>
      <c r="F221" s="177"/>
      <c r="G221" s="177"/>
      <c r="H221" s="177"/>
    </row>
    <row r="222" spans="2:8" x14ac:dyDescent="0.25">
      <c r="B222" s="204"/>
      <c r="C222" s="204" t="s">
        <v>219</v>
      </c>
      <c r="D222" s="143" t="s">
        <v>324</v>
      </c>
      <c r="E222" s="177"/>
      <c r="F222" s="177"/>
      <c r="G222" s="177"/>
      <c r="H222" s="177"/>
    </row>
    <row r="223" spans="2:8" x14ac:dyDescent="0.25">
      <c r="B223" s="204"/>
      <c r="C223" s="204"/>
      <c r="D223" s="143" t="s">
        <v>325</v>
      </c>
      <c r="E223" s="177"/>
      <c r="F223" s="177"/>
      <c r="G223" s="177"/>
      <c r="H223" s="177"/>
    </row>
    <row r="224" spans="2:8" x14ac:dyDescent="0.25">
      <c r="B224" s="204"/>
      <c r="C224" s="204" t="s">
        <v>220</v>
      </c>
      <c r="D224" s="143" t="s">
        <v>324</v>
      </c>
      <c r="E224" s="177"/>
      <c r="F224" s="177"/>
      <c r="G224" s="177"/>
      <c r="H224" s="177"/>
    </row>
    <row r="225" spans="2:8" x14ac:dyDescent="0.25">
      <c r="B225" s="204"/>
      <c r="C225" s="204"/>
      <c r="D225" s="143" t="s">
        <v>325</v>
      </c>
      <c r="E225" s="177"/>
      <c r="F225" s="177"/>
      <c r="G225" s="177"/>
      <c r="H225" s="177"/>
    </row>
    <row r="226" spans="2:8" x14ac:dyDescent="0.25">
      <c r="B226" s="204" t="s">
        <v>328</v>
      </c>
      <c r="C226" s="204"/>
      <c r="D226" s="143" t="s">
        <v>329</v>
      </c>
      <c r="E226" s="177"/>
      <c r="F226" s="177"/>
      <c r="G226" s="177"/>
      <c r="H226" s="177"/>
    </row>
    <row r="227" spans="2:8" x14ac:dyDescent="0.25">
      <c r="B227" s="204"/>
      <c r="C227" s="204"/>
      <c r="D227" s="143" t="s">
        <v>205</v>
      </c>
      <c r="E227" s="177"/>
      <c r="F227" s="177"/>
      <c r="G227" s="177"/>
      <c r="H227" s="177"/>
    </row>
    <row r="228" spans="2:8" x14ac:dyDescent="0.25">
      <c r="B228" s="204"/>
      <c r="C228" s="204"/>
      <c r="D228" s="143" t="s">
        <v>208</v>
      </c>
      <c r="E228" s="177"/>
      <c r="F228" s="177"/>
      <c r="G228" s="177"/>
      <c r="H228" s="177"/>
    </row>
    <row r="229" spans="2:8" x14ac:dyDescent="0.25">
      <c r="B229" s="204"/>
      <c r="C229" s="204"/>
      <c r="D229" s="143" t="s">
        <v>210</v>
      </c>
      <c r="E229" s="177"/>
      <c r="F229" s="177"/>
      <c r="G229" s="177"/>
      <c r="H229" s="177"/>
    </row>
    <row r="230" spans="2:8" x14ac:dyDescent="0.25">
      <c r="B230" s="204"/>
      <c r="C230" s="204"/>
      <c r="D230" s="143" t="s">
        <v>213</v>
      </c>
      <c r="E230" s="177"/>
      <c r="F230" s="177"/>
      <c r="G230" s="177"/>
      <c r="H230" s="177"/>
    </row>
    <row r="231" spans="2:8" x14ac:dyDescent="0.25">
      <c r="B231" s="204"/>
      <c r="C231" s="204"/>
      <c r="D231" s="143" t="s">
        <v>216</v>
      </c>
      <c r="E231" s="177"/>
      <c r="F231" s="177"/>
      <c r="G231" s="177"/>
      <c r="H231" s="177"/>
    </row>
    <row r="232" spans="2:8" x14ac:dyDescent="0.25">
      <c r="B232" s="204"/>
      <c r="C232" s="204"/>
      <c r="D232" s="143" t="s">
        <v>217</v>
      </c>
      <c r="E232" s="177"/>
      <c r="F232" s="177"/>
      <c r="G232" s="177"/>
      <c r="H232" s="177"/>
    </row>
    <row r="233" spans="2:8" x14ac:dyDescent="0.25">
      <c r="B233" s="204"/>
      <c r="C233" s="204"/>
      <c r="D233" s="143" t="s">
        <v>218</v>
      </c>
      <c r="E233" s="177"/>
      <c r="F233" s="177"/>
      <c r="G233" s="177"/>
      <c r="H233" s="177"/>
    </row>
    <row r="234" spans="2:8" x14ac:dyDescent="0.25">
      <c r="B234" s="204"/>
      <c r="C234" s="204"/>
      <c r="D234" s="143" t="s">
        <v>219</v>
      </c>
      <c r="E234" s="177"/>
      <c r="F234" s="177"/>
      <c r="G234" s="177"/>
      <c r="H234" s="177"/>
    </row>
    <row r="235" spans="2:8" x14ac:dyDescent="0.25">
      <c r="B235" s="204" t="s">
        <v>330</v>
      </c>
      <c r="C235" s="204"/>
      <c r="D235" s="143" t="s">
        <v>329</v>
      </c>
      <c r="E235" s="177"/>
      <c r="F235" s="177"/>
      <c r="G235" s="177"/>
      <c r="H235" s="177"/>
    </row>
    <row r="236" spans="2:8" x14ac:dyDescent="0.25">
      <c r="B236" s="204"/>
      <c r="C236" s="204"/>
      <c r="D236" s="143" t="s">
        <v>205</v>
      </c>
      <c r="E236" s="177"/>
      <c r="F236" s="177"/>
      <c r="G236" s="177"/>
      <c r="H236" s="177"/>
    </row>
    <row r="237" spans="2:8" x14ac:dyDescent="0.25">
      <c r="B237" s="204"/>
      <c r="C237" s="204"/>
      <c r="D237" s="143" t="s">
        <v>208</v>
      </c>
      <c r="E237" s="177"/>
      <c r="F237" s="177"/>
      <c r="G237" s="177"/>
      <c r="H237" s="177"/>
    </row>
    <row r="238" spans="2:8" x14ac:dyDescent="0.25">
      <c r="B238" s="204"/>
      <c r="C238" s="204"/>
      <c r="D238" s="143" t="s">
        <v>210</v>
      </c>
      <c r="E238" s="177"/>
      <c r="F238" s="177"/>
      <c r="G238" s="177"/>
      <c r="H238" s="177"/>
    </row>
    <row r="239" spans="2:8" x14ac:dyDescent="0.25">
      <c r="B239" s="204"/>
      <c r="C239" s="204"/>
      <c r="D239" s="143" t="s">
        <v>213</v>
      </c>
      <c r="E239" s="177"/>
      <c r="F239" s="177"/>
      <c r="G239" s="177"/>
      <c r="H239" s="177"/>
    </row>
    <row r="240" spans="2:8" x14ac:dyDescent="0.25">
      <c r="B240" s="204"/>
      <c r="C240" s="204"/>
      <c r="D240" s="143" t="s">
        <v>216</v>
      </c>
      <c r="E240" s="177"/>
      <c r="F240" s="177"/>
      <c r="G240" s="177"/>
      <c r="H240" s="177"/>
    </row>
    <row r="241" spans="2:8" x14ac:dyDescent="0.25">
      <c r="B241" s="204"/>
      <c r="C241" s="204"/>
      <c r="D241" s="143" t="s">
        <v>217</v>
      </c>
      <c r="E241" s="177"/>
      <c r="F241" s="177"/>
      <c r="G241" s="177"/>
      <c r="H241" s="177"/>
    </row>
    <row r="242" spans="2:8" x14ac:dyDescent="0.25">
      <c r="B242" s="204"/>
      <c r="C242" s="204"/>
      <c r="D242" s="143" t="s">
        <v>218</v>
      </c>
      <c r="E242" s="177"/>
      <c r="F242" s="177"/>
      <c r="G242" s="177"/>
      <c r="H242" s="177"/>
    </row>
    <row r="243" spans="2:8" x14ac:dyDescent="0.25">
      <c r="B243" s="204"/>
      <c r="C243" s="204"/>
      <c r="D243" s="143" t="s">
        <v>219</v>
      </c>
      <c r="E243" s="177"/>
      <c r="F243" s="177"/>
      <c r="G243" s="177"/>
      <c r="H243" s="177"/>
    </row>
    <row r="244" spans="2:8" x14ac:dyDescent="0.25">
      <c r="B244" s="207" t="s">
        <v>331</v>
      </c>
      <c r="C244" s="207"/>
      <c r="D244" s="150" t="s">
        <v>205</v>
      </c>
      <c r="E244" s="177"/>
      <c r="F244" s="177"/>
      <c r="G244" s="177"/>
      <c r="H244" s="177"/>
    </row>
    <row r="245" spans="2:8" x14ac:dyDescent="0.25">
      <c r="B245" s="207"/>
      <c r="C245" s="207"/>
      <c r="D245" s="150" t="s">
        <v>208</v>
      </c>
      <c r="E245" s="177"/>
      <c r="F245" s="177"/>
      <c r="G245" s="177"/>
      <c r="H245" s="177"/>
    </row>
    <row r="246" spans="2:8" x14ac:dyDescent="0.25">
      <c r="B246" s="207"/>
      <c r="C246" s="207"/>
      <c r="D246" s="150" t="s">
        <v>210</v>
      </c>
      <c r="E246" s="177"/>
      <c r="F246" s="177"/>
      <c r="G246" s="177"/>
      <c r="H246" s="177"/>
    </row>
    <row r="247" spans="2:8" x14ac:dyDescent="0.25">
      <c r="B247" s="207"/>
      <c r="C247" s="207"/>
      <c r="D247" s="150" t="s">
        <v>213</v>
      </c>
      <c r="E247" s="177"/>
      <c r="F247" s="177"/>
      <c r="G247" s="177"/>
      <c r="H247" s="177"/>
    </row>
    <row r="248" spans="2:8" x14ac:dyDescent="0.25">
      <c r="B248" s="207"/>
      <c r="C248" s="207"/>
      <c r="D248" s="150" t="s">
        <v>216</v>
      </c>
      <c r="E248" s="177"/>
      <c r="F248" s="177"/>
      <c r="G248" s="177"/>
      <c r="H248" s="177"/>
    </row>
    <row r="249" spans="2:8" x14ac:dyDescent="0.25">
      <c r="B249" s="207"/>
      <c r="C249" s="207"/>
      <c r="D249" s="150" t="s">
        <v>217</v>
      </c>
      <c r="E249" s="177"/>
      <c r="F249" s="177"/>
      <c r="G249" s="177"/>
      <c r="H249" s="177"/>
    </row>
    <row r="250" spans="2:8" x14ac:dyDescent="0.25">
      <c r="B250" s="207"/>
      <c r="C250" s="207"/>
      <c r="D250" s="150" t="s">
        <v>218</v>
      </c>
      <c r="E250" s="177"/>
      <c r="F250" s="177"/>
      <c r="G250" s="177"/>
      <c r="H250" s="177"/>
    </row>
    <row r="251" spans="2:8" x14ac:dyDescent="0.25">
      <c r="B251" s="207"/>
      <c r="C251" s="207"/>
      <c r="D251" s="150" t="s">
        <v>219</v>
      </c>
      <c r="E251" s="177"/>
      <c r="F251" s="177"/>
      <c r="G251" s="177"/>
      <c r="H251" s="177"/>
    </row>
    <row r="252" spans="2:8" x14ac:dyDescent="0.25">
      <c r="B252" s="207"/>
      <c r="C252" s="207"/>
      <c r="D252" s="150" t="s">
        <v>220</v>
      </c>
      <c r="E252" s="177"/>
      <c r="F252" s="177"/>
      <c r="G252" s="177"/>
      <c r="H252" s="177"/>
    </row>
    <row r="253" spans="2:8" x14ac:dyDescent="0.25">
      <c r="B253" s="207" t="s">
        <v>332</v>
      </c>
      <c r="C253" s="207"/>
      <c r="D253" s="150" t="s">
        <v>205</v>
      </c>
      <c r="E253" s="177"/>
      <c r="F253" s="177"/>
      <c r="G253" s="177"/>
      <c r="H253" s="177"/>
    </row>
    <row r="254" spans="2:8" x14ac:dyDescent="0.25">
      <c r="B254" s="207"/>
      <c r="C254" s="207"/>
      <c r="D254" s="150" t="s">
        <v>208</v>
      </c>
      <c r="E254" s="177"/>
      <c r="F254" s="177"/>
      <c r="G254" s="177"/>
      <c r="H254" s="177"/>
    </row>
    <row r="255" spans="2:8" x14ac:dyDescent="0.25">
      <c r="B255" s="207"/>
      <c r="C255" s="207"/>
      <c r="D255" s="150" t="s">
        <v>210</v>
      </c>
      <c r="E255" s="177"/>
      <c r="F255" s="177"/>
      <c r="G255" s="177"/>
      <c r="H255" s="177"/>
    </row>
    <row r="256" spans="2:8" x14ac:dyDescent="0.25">
      <c r="B256" s="207"/>
      <c r="C256" s="207"/>
      <c r="D256" s="150" t="s">
        <v>213</v>
      </c>
      <c r="E256" s="177"/>
      <c r="F256" s="177"/>
      <c r="G256" s="177"/>
      <c r="H256" s="177"/>
    </row>
    <row r="257" spans="2:8" x14ac:dyDescent="0.25">
      <c r="B257" s="207"/>
      <c r="C257" s="207"/>
      <c r="D257" s="150" t="s">
        <v>216</v>
      </c>
      <c r="E257" s="177"/>
      <c r="F257" s="177"/>
      <c r="G257" s="177"/>
      <c r="H257" s="177"/>
    </row>
    <row r="258" spans="2:8" x14ac:dyDescent="0.25">
      <c r="B258" s="207"/>
      <c r="C258" s="207"/>
      <c r="D258" s="150" t="s">
        <v>217</v>
      </c>
      <c r="E258" s="177"/>
      <c r="F258" s="177"/>
      <c r="G258" s="177"/>
      <c r="H258" s="177"/>
    </row>
    <row r="259" spans="2:8" x14ac:dyDescent="0.25">
      <c r="B259" s="207"/>
      <c r="C259" s="207"/>
      <c r="D259" s="150" t="s">
        <v>218</v>
      </c>
      <c r="E259" s="177"/>
      <c r="F259" s="177"/>
      <c r="G259" s="177"/>
      <c r="H259" s="177"/>
    </row>
    <row r="260" spans="2:8" x14ac:dyDescent="0.25">
      <c r="B260" s="207"/>
      <c r="C260" s="207"/>
      <c r="D260" s="150" t="s">
        <v>219</v>
      </c>
      <c r="E260" s="177"/>
      <c r="F260" s="177"/>
      <c r="G260" s="177"/>
      <c r="H260" s="177"/>
    </row>
    <row r="261" spans="2:8" x14ac:dyDescent="0.25">
      <c r="B261" s="207"/>
      <c r="C261" s="207"/>
      <c r="D261" s="150" t="s">
        <v>220</v>
      </c>
      <c r="E261" s="177"/>
      <c r="F261" s="177"/>
      <c r="G261" s="177"/>
      <c r="H261" s="177"/>
    </row>
    <row r="262" spans="2:8" x14ac:dyDescent="0.25">
      <c r="B262" s="207" t="s">
        <v>333</v>
      </c>
      <c r="C262" s="207"/>
      <c r="D262" s="150" t="s">
        <v>205</v>
      </c>
      <c r="E262" s="177"/>
      <c r="F262" s="177"/>
      <c r="G262" s="177"/>
      <c r="H262" s="177"/>
    </row>
    <row r="263" spans="2:8" x14ac:dyDescent="0.25">
      <c r="B263" s="207"/>
      <c r="C263" s="207"/>
      <c r="D263" s="150" t="s">
        <v>208</v>
      </c>
      <c r="E263" s="177"/>
      <c r="F263" s="177"/>
      <c r="G263" s="177"/>
      <c r="H263" s="177"/>
    </row>
    <row r="264" spans="2:8" x14ac:dyDescent="0.25">
      <c r="B264" s="207"/>
      <c r="C264" s="207"/>
      <c r="D264" s="150" t="s">
        <v>210</v>
      </c>
      <c r="E264" s="177"/>
      <c r="F264" s="177"/>
      <c r="G264" s="177"/>
      <c r="H264" s="177"/>
    </row>
    <row r="265" spans="2:8" x14ac:dyDescent="0.25">
      <c r="B265" s="207"/>
      <c r="C265" s="207"/>
      <c r="D265" s="150" t="s">
        <v>213</v>
      </c>
      <c r="E265" s="177"/>
      <c r="F265" s="177"/>
      <c r="G265" s="177"/>
      <c r="H265" s="177"/>
    </row>
    <row r="266" spans="2:8" x14ac:dyDescent="0.25">
      <c r="B266" s="207"/>
      <c r="C266" s="207"/>
      <c r="D266" s="150" t="s">
        <v>216</v>
      </c>
      <c r="E266" s="177"/>
      <c r="F266" s="177"/>
      <c r="G266" s="177"/>
      <c r="H266" s="177"/>
    </row>
    <row r="267" spans="2:8" x14ac:dyDescent="0.25">
      <c r="B267" s="207"/>
      <c r="C267" s="207"/>
      <c r="D267" s="150" t="s">
        <v>217</v>
      </c>
      <c r="E267" s="177"/>
      <c r="F267" s="177"/>
      <c r="G267" s="177"/>
      <c r="H267" s="177"/>
    </row>
    <row r="268" spans="2:8" x14ac:dyDescent="0.25">
      <c r="B268" s="207"/>
      <c r="C268" s="207"/>
      <c r="D268" s="150" t="s">
        <v>218</v>
      </c>
      <c r="E268" s="177"/>
      <c r="F268" s="177"/>
      <c r="G268" s="177"/>
      <c r="H268" s="177"/>
    </row>
    <row r="269" spans="2:8" x14ac:dyDescent="0.25">
      <c r="B269" s="207"/>
      <c r="C269" s="207"/>
      <c r="D269" s="150" t="s">
        <v>219</v>
      </c>
      <c r="E269" s="177"/>
      <c r="F269" s="177"/>
      <c r="G269" s="177"/>
      <c r="H269" s="177"/>
    </row>
    <row r="270" spans="2:8" ht="18.75" x14ac:dyDescent="0.25">
      <c r="B270" s="151" t="s">
        <v>334</v>
      </c>
      <c r="C270" s="151"/>
      <c r="D270" s="152"/>
      <c r="E270" s="177"/>
      <c r="F270" s="177"/>
      <c r="G270" s="177"/>
      <c r="H270" s="177"/>
    </row>
    <row r="271" spans="2:8" x14ac:dyDescent="0.25">
      <c r="B271" s="204" t="s">
        <v>335</v>
      </c>
      <c r="C271" s="204" t="s">
        <v>219</v>
      </c>
      <c r="D271" s="143" t="s">
        <v>324</v>
      </c>
      <c r="E271" s="177"/>
      <c r="F271" s="177"/>
      <c r="G271" s="177"/>
      <c r="H271" s="177"/>
    </row>
    <row r="272" spans="2:8" x14ac:dyDescent="0.25">
      <c r="B272" s="204"/>
      <c r="C272" s="204"/>
      <c r="D272" s="143" t="s">
        <v>325</v>
      </c>
      <c r="E272" s="177"/>
      <c r="F272" s="177"/>
      <c r="G272" s="177"/>
      <c r="H272" s="177"/>
    </row>
    <row r="273" spans="2:8" x14ac:dyDescent="0.25">
      <c r="B273" s="204"/>
      <c r="C273" s="204"/>
      <c r="D273" s="143" t="s">
        <v>336</v>
      </c>
      <c r="E273" s="177"/>
      <c r="F273" s="177"/>
      <c r="G273" s="177"/>
      <c r="H273" s="177"/>
    </row>
    <row r="274" spans="2:8" x14ac:dyDescent="0.25">
      <c r="B274" s="204"/>
      <c r="C274" s="204" t="s">
        <v>220</v>
      </c>
      <c r="D274" s="143" t="s">
        <v>324</v>
      </c>
      <c r="E274" s="177"/>
      <c r="F274" s="177"/>
      <c r="G274" s="177"/>
      <c r="H274" s="177"/>
    </row>
    <row r="275" spans="2:8" x14ac:dyDescent="0.25">
      <c r="B275" s="204"/>
      <c r="C275" s="204"/>
      <c r="D275" s="143" t="s">
        <v>325</v>
      </c>
      <c r="E275" s="177"/>
      <c r="F275" s="177"/>
      <c r="G275" s="177"/>
      <c r="H275" s="177"/>
    </row>
    <row r="276" spans="2:8" x14ac:dyDescent="0.25">
      <c r="B276" s="204"/>
      <c r="C276" s="204"/>
      <c r="D276" s="143" t="s">
        <v>336</v>
      </c>
      <c r="E276" s="177"/>
      <c r="F276" s="177"/>
      <c r="G276" s="177"/>
      <c r="H276" s="177"/>
    </row>
    <row r="277" spans="2:8" x14ac:dyDescent="0.25">
      <c r="B277" s="205" t="s">
        <v>337</v>
      </c>
      <c r="C277" s="205"/>
      <c r="D277" s="154" t="s">
        <v>338</v>
      </c>
      <c r="E277" s="177"/>
      <c r="F277" s="177"/>
      <c r="G277" s="177"/>
      <c r="H277" s="177"/>
    </row>
    <row r="278" spans="2:8" x14ac:dyDescent="0.25">
      <c r="B278" s="205"/>
      <c r="C278" s="205"/>
      <c r="D278" s="154" t="s">
        <v>339</v>
      </c>
      <c r="E278" s="177"/>
      <c r="F278" s="177"/>
      <c r="G278" s="177"/>
      <c r="H278" s="177"/>
    </row>
    <row r="279" spans="2:8" x14ac:dyDescent="0.25">
      <c r="B279" s="205"/>
      <c r="C279" s="205"/>
      <c r="D279" s="154" t="s">
        <v>340</v>
      </c>
      <c r="E279" s="177"/>
      <c r="F279" s="177"/>
      <c r="G279" s="177"/>
      <c r="H279" s="177"/>
    </row>
    <row r="280" spans="2:8" x14ac:dyDescent="0.25">
      <c r="B280" s="205"/>
      <c r="C280" s="205"/>
      <c r="D280" s="154" t="s">
        <v>341</v>
      </c>
      <c r="E280" s="177"/>
      <c r="F280" s="177"/>
      <c r="G280" s="177"/>
      <c r="H280" s="177"/>
    </row>
    <row r="281" spans="2:8" x14ac:dyDescent="0.25">
      <c r="B281" s="205"/>
      <c r="C281" s="205"/>
      <c r="D281" s="154" t="s">
        <v>342</v>
      </c>
      <c r="E281" s="177"/>
      <c r="F281" s="177"/>
      <c r="G281" s="177"/>
      <c r="H281" s="177"/>
    </row>
    <row r="282" spans="2:8" x14ac:dyDescent="0.25">
      <c r="B282" s="205"/>
      <c r="C282" s="205"/>
      <c r="D282" s="154" t="s">
        <v>343</v>
      </c>
      <c r="E282" s="177"/>
      <c r="F282" s="177"/>
      <c r="G282" s="177"/>
      <c r="H282" s="177"/>
    </row>
    <row r="283" spans="2:8" x14ac:dyDescent="0.25">
      <c r="B283" s="206" t="s">
        <v>344</v>
      </c>
      <c r="C283" s="206"/>
      <c r="D283" s="155" t="s">
        <v>338</v>
      </c>
      <c r="E283" s="177"/>
      <c r="F283" s="177"/>
      <c r="G283" s="177"/>
      <c r="H283" s="177"/>
    </row>
    <row r="284" spans="2:8" x14ac:dyDescent="0.25">
      <c r="B284" s="206"/>
      <c r="C284" s="206"/>
      <c r="D284" s="155" t="s">
        <v>339</v>
      </c>
      <c r="E284" s="177"/>
      <c r="F284" s="177"/>
      <c r="G284" s="177"/>
      <c r="H284" s="177"/>
    </row>
    <row r="285" spans="2:8" x14ac:dyDescent="0.25">
      <c r="B285" s="206"/>
      <c r="C285" s="206"/>
      <c r="D285" s="155" t="s">
        <v>340</v>
      </c>
      <c r="E285" s="177"/>
      <c r="F285" s="177"/>
      <c r="G285" s="177"/>
      <c r="H285" s="177"/>
    </row>
    <row r="286" spans="2:8" x14ac:dyDescent="0.25">
      <c r="B286" s="206" t="s">
        <v>345</v>
      </c>
      <c r="C286" s="206"/>
      <c r="D286" s="155" t="s">
        <v>346</v>
      </c>
      <c r="E286" s="177"/>
      <c r="F286" s="177"/>
      <c r="G286" s="177"/>
      <c r="H286" s="177"/>
    </row>
    <row r="287" spans="2:8" x14ac:dyDescent="0.25">
      <c r="B287" s="206"/>
      <c r="C287" s="206"/>
      <c r="D287" s="155" t="s">
        <v>339</v>
      </c>
      <c r="E287" s="177"/>
      <c r="F287" s="177"/>
      <c r="G287" s="177"/>
      <c r="H287" s="177"/>
    </row>
    <row r="288" spans="2:8" x14ac:dyDescent="0.25">
      <c r="B288" s="206"/>
      <c r="C288" s="206"/>
      <c r="D288" s="155" t="s">
        <v>340</v>
      </c>
      <c r="E288" s="177"/>
      <c r="F288" s="177"/>
      <c r="G288" s="177"/>
      <c r="H288" s="177"/>
    </row>
    <row r="289" spans="2:8" x14ac:dyDescent="0.25">
      <c r="B289" s="206"/>
      <c r="C289" s="206"/>
      <c r="D289" s="155" t="s">
        <v>342</v>
      </c>
      <c r="E289" s="177"/>
      <c r="F289" s="177"/>
      <c r="G289" s="177"/>
      <c r="H289" s="177"/>
    </row>
    <row r="290" spans="2:8" x14ac:dyDescent="0.25">
      <c r="B290" s="206"/>
      <c r="C290" s="206"/>
      <c r="D290" s="155" t="s">
        <v>343</v>
      </c>
      <c r="E290" s="177"/>
      <c r="F290" s="177"/>
      <c r="G290" s="177"/>
      <c r="H290" s="177"/>
    </row>
    <row r="291" spans="2:8" x14ac:dyDescent="0.25">
      <c r="B291" s="206" t="s">
        <v>347</v>
      </c>
      <c r="C291" s="206"/>
      <c r="D291" s="155" t="s">
        <v>219</v>
      </c>
      <c r="E291" s="177"/>
      <c r="F291" s="177"/>
      <c r="G291" s="177"/>
      <c r="H291" s="177"/>
    </row>
    <row r="292" spans="2:8" x14ac:dyDescent="0.25">
      <c r="B292" s="206" t="s">
        <v>348</v>
      </c>
      <c r="C292" s="206"/>
      <c r="D292" s="155" t="s">
        <v>349</v>
      </c>
      <c r="E292" s="177"/>
      <c r="F292" s="177"/>
      <c r="G292" s="177"/>
      <c r="H292" s="177"/>
    </row>
    <row r="293" spans="2:8" x14ac:dyDescent="0.25">
      <c r="B293" s="206"/>
      <c r="C293" s="206"/>
      <c r="D293" s="155" t="s">
        <v>350</v>
      </c>
      <c r="E293" s="177"/>
      <c r="F293" s="177"/>
      <c r="G293" s="177"/>
      <c r="H293" s="177"/>
    </row>
    <row r="294" spans="2:8" x14ac:dyDescent="0.25">
      <c r="B294" s="206"/>
      <c r="C294" s="206"/>
      <c r="D294" s="155" t="s">
        <v>351</v>
      </c>
      <c r="E294" s="177"/>
      <c r="F294" s="177"/>
      <c r="G294" s="177"/>
      <c r="H294" s="177"/>
    </row>
    <row r="295" spans="2:8" x14ac:dyDescent="0.25">
      <c r="B295" s="206"/>
      <c r="C295" s="206"/>
      <c r="D295" s="155" t="s">
        <v>219</v>
      </c>
      <c r="E295" s="177"/>
      <c r="F295" s="177"/>
      <c r="G295" s="177"/>
      <c r="H295" s="177"/>
    </row>
    <row r="296" spans="2:8" x14ac:dyDescent="0.25">
      <c r="B296" s="206"/>
      <c r="C296" s="206"/>
      <c r="D296" s="155" t="s">
        <v>220</v>
      </c>
      <c r="E296" s="177"/>
      <c r="F296" s="177"/>
      <c r="G296" s="177"/>
      <c r="H296" s="177"/>
    </row>
    <row r="297" spans="2:8" x14ac:dyDescent="0.25">
      <c r="B297" s="206" t="s">
        <v>352</v>
      </c>
      <c r="C297" s="206"/>
      <c r="D297" s="155" t="s">
        <v>353</v>
      </c>
      <c r="E297" s="177"/>
      <c r="F297" s="177"/>
      <c r="G297" s="177"/>
      <c r="H297" s="177"/>
    </row>
    <row r="298" spans="2:8" x14ac:dyDescent="0.25">
      <c r="B298" s="206"/>
      <c r="C298" s="206"/>
      <c r="D298" s="155" t="s">
        <v>220</v>
      </c>
      <c r="E298" s="177"/>
      <c r="F298" s="177"/>
      <c r="G298" s="177"/>
      <c r="H298" s="177"/>
    </row>
    <row r="299" spans="2:8" x14ac:dyDescent="0.25">
      <c r="B299" s="204" t="s">
        <v>354</v>
      </c>
      <c r="C299" s="204"/>
      <c r="D299" s="155" t="s">
        <v>353</v>
      </c>
      <c r="E299" s="177"/>
      <c r="F299" s="177"/>
      <c r="G299" s="177"/>
      <c r="H299" s="177"/>
    </row>
    <row r="300" spans="2:8" x14ac:dyDescent="0.25">
      <c r="B300" s="204"/>
      <c r="C300" s="204"/>
      <c r="D300" s="155" t="s">
        <v>220</v>
      </c>
      <c r="E300" s="177"/>
      <c r="F300" s="177"/>
      <c r="G300" s="177"/>
      <c r="H300" s="177"/>
    </row>
    <row r="301" spans="2:8" ht="30" x14ac:dyDescent="0.25">
      <c r="B301" s="204" t="s">
        <v>355</v>
      </c>
      <c r="C301" s="204"/>
      <c r="D301" s="156" t="s">
        <v>356</v>
      </c>
      <c r="E301" s="177"/>
      <c r="F301" s="177"/>
      <c r="G301" s="177"/>
      <c r="H301" s="177"/>
    </row>
    <row r="302" spans="2:8" x14ac:dyDescent="0.25">
      <c r="B302" s="204" t="s">
        <v>357</v>
      </c>
      <c r="C302" s="204"/>
      <c r="D302" s="154" t="s">
        <v>358</v>
      </c>
      <c r="E302" s="177"/>
      <c r="F302" s="177"/>
      <c r="G302" s="177"/>
      <c r="H302" s="177"/>
    </row>
    <row r="303" spans="2:8" x14ac:dyDescent="0.25">
      <c r="E303" s="180"/>
      <c r="F303" s="180"/>
      <c r="G303" s="180"/>
      <c r="H303" s="181"/>
    </row>
    <row r="304" spans="2:8" x14ac:dyDescent="0.25">
      <c r="E304" s="180"/>
      <c r="F304" s="180"/>
      <c r="G304" s="180"/>
      <c r="H304" s="181"/>
    </row>
    <row r="305" spans="5:8" x14ac:dyDescent="0.25">
      <c r="E305" s="180"/>
      <c r="F305" s="180"/>
      <c r="G305" s="180"/>
      <c r="H305" s="181"/>
    </row>
    <row r="306" spans="5:8" x14ac:dyDescent="0.25">
      <c r="E306" s="180"/>
      <c r="F306" s="180"/>
      <c r="G306" s="180"/>
      <c r="H306" s="181"/>
    </row>
    <row r="307" spans="5:8" x14ac:dyDescent="0.25">
      <c r="E307" s="180"/>
      <c r="F307" s="180"/>
      <c r="G307" s="180"/>
      <c r="H307" s="181"/>
    </row>
    <row r="308" spans="5:8" x14ac:dyDescent="0.25">
      <c r="E308" s="180"/>
      <c r="F308" s="180"/>
      <c r="G308" s="180"/>
      <c r="H308" s="181"/>
    </row>
    <row r="309" spans="5:8" x14ac:dyDescent="0.25">
      <c r="E309" s="180"/>
      <c r="F309" s="180"/>
      <c r="G309" s="180"/>
      <c r="H309" s="181"/>
    </row>
    <row r="310" spans="5:8" x14ac:dyDescent="0.25">
      <c r="E310" s="180"/>
      <c r="F310" s="180"/>
      <c r="G310" s="180"/>
      <c r="H310" s="181"/>
    </row>
    <row r="311" spans="5:8" x14ac:dyDescent="0.25">
      <c r="E311" s="180"/>
      <c r="F311" s="180"/>
      <c r="G311" s="180"/>
      <c r="H311" s="181"/>
    </row>
    <row r="312" spans="5:8" x14ac:dyDescent="0.25">
      <c r="E312" s="180"/>
      <c r="F312" s="180"/>
      <c r="G312" s="180"/>
      <c r="H312" s="181"/>
    </row>
    <row r="313" spans="5:8" x14ac:dyDescent="0.25">
      <c r="E313" s="180"/>
      <c r="F313" s="180"/>
      <c r="G313" s="180"/>
      <c r="H313" s="181"/>
    </row>
    <row r="314" spans="5:8" x14ac:dyDescent="0.25">
      <c r="E314" s="180"/>
      <c r="F314" s="180"/>
      <c r="G314" s="180"/>
      <c r="H314" s="181"/>
    </row>
    <row r="315" spans="5:8" x14ac:dyDescent="0.25">
      <c r="E315" s="180"/>
      <c r="F315" s="180"/>
      <c r="G315" s="180"/>
      <c r="H315" s="181"/>
    </row>
    <row r="316" spans="5:8" x14ac:dyDescent="0.25">
      <c r="E316" s="180"/>
      <c r="F316" s="180"/>
      <c r="G316" s="180"/>
      <c r="H316" s="181"/>
    </row>
    <row r="317" spans="5:8" x14ac:dyDescent="0.25">
      <c r="E317" s="180"/>
      <c r="F317" s="180"/>
      <c r="G317" s="180"/>
      <c r="H317" s="181"/>
    </row>
    <row r="318" spans="5:8" x14ac:dyDescent="0.25">
      <c r="E318" s="180"/>
      <c r="F318" s="180"/>
      <c r="G318" s="180"/>
      <c r="H318" s="181"/>
    </row>
    <row r="319" spans="5:8" x14ac:dyDescent="0.25">
      <c r="E319" s="180"/>
      <c r="F319" s="180"/>
      <c r="G319" s="180"/>
      <c r="H319" s="181"/>
    </row>
    <row r="320" spans="5:8" x14ac:dyDescent="0.25">
      <c r="E320" s="180"/>
      <c r="F320" s="180"/>
      <c r="G320" s="180"/>
      <c r="H320" s="181"/>
    </row>
    <row r="321" spans="5:8" x14ac:dyDescent="0.25">
      <c r="E321" s="180"/>
      <c r="F321" s="180"/>
      <c r="G321" s="180"/>
      <c r="H321" s="181"/>
    </row>
    <row r="322" spans="5:8" x14ac:dyDescent="0.25">
      <c r="E322" s="180"/>
      <c r="F322" s="180"/>
      <c r="G322" s="180"/>
      <c r="H322" s="181"/>
    </row>
    <row r="323" spans="5:8" x14ac:dyDescent="0.25">
      <c r="E323" s="180"/>
      <c r="F323" s="180"/>
      <c r="G323" s="180"/>
      <c r="H323" s="181"/>
    </row>
    <row r="324" spans="5:8" x14ac:dyDescent="0.25">
      <c r="E324" s="180"/>
      <c r="F324" s="180"/>
      <c r="G324" s="180"/>
      <c r="H324" s="181"/>
    </row>
    <row r="325" spans="5:8" x14ac:dyDescent="0.25">
      <c r="E325" s="180"/>
      <c r="F325" s="180"/>
      <c r="G325" s="180"/>
      <c r="H325" s="181"/>
    </row>
    <row r="326" spans="5:8" x14ac:dyDescent="0.25">
      <c r="E326" s="180"/>
      <c r="F326" s="180"/>
      <c r="G326" s="180"/>
      <c r="H326" s="181"/>
    </row>
    <row r="327" spans="5:8" x14ac:dyDescent="0.25">
      <c r="E327" s="180"/>
      <c r="F327" s="180"/>
      <c r="G327" s="180"/>
      <c r="H327" s="181"/>
    </row>
    <row r="328" spans="5:8" x14ac:dyDescent="0.25">
      <c r="E328" s="180"/>
      <c r="F328" s="180"/>
      <c r="G328" s="180"/>
      <c r="H328" s="181"/>
    </row>
    <row r="329" spans="5:8" x14ac:dyDescent="0.25">
      <c r="E329" s="180"/>
      <c r="F329" s="180"/>
      <c r="G329" s="180"/>
      <c r="H329" s="181"/>
    </row>
    <row r="330" spans="5:8" x14ac:dyDescent="0.25">
      <c r="E330" s="180"/>
      <c r="F330" s="180"/>
      <c r="G330" s="180"/>
      <c r="H330" s="181"/>
    </row>
    <row r="331" spans="5:8" x14ac:dyDescent="0.25">
      <c r="E331" s="180"/>
      <c r="F331" s="180"/>
      <c r="G331" s="180"/>
      <c r="H331" s="181"/>
    </row>
    <row r="332" spans="5:8" x14ac:dyDescent="0.25">
      <c r="E332" s="180"/>
      <c r="F332" s="180"/>
      <c r="G332" s="180"/>
      <c r="H332" s="181"/>
    </row>
    <row r="333" spans="5:8" x14ac:dyDescent="0.25">
      <c r="E333" s="180"/>
      <c r="F333" s="180"/>
      <c r="G333" s="180"/>
      <c r="H333" s="181"/>
    </row>
    <row r="334" spans="5:8" x14ac:dyDescent="0.25">
      <c r="E334" s="180"/>
      <c r="F334" s="180"/>
      <c r="G334" s="180"/>
      <c r="H334" s="181"/>
    </row>
    <row r="335" spans="5:8" x14ac:dyDescent="0.25">
      <c r="E335" s="180"/>
      <c r="F335" s="180"/>
      <c r="G335" s="180"/>
      <c r="H335" s="181"/>
    </row>
    <row r="336" spans="5:8" x14ac:dyDescent="0.25">
      <c r="E336" s="180"/>
      <c r="F336" s="180"/>
      <c r="G336" s="180"/>
      <c r="H336" s="181"/>
    </row>
    <row r="337" spans="5:8" x14ac:dyDescent="0.25">
      <c r="E337" s="180"/>
      <c r="F337" s="180"/>
      <c r="G337" s="180"/>
      <c r="H337" s="181"/>
    </row>
    <row r="338" spans="5:8" x14ac:dyDescent="0.25">
      <c r="E338" s="180"/>
      <c r="F338" s="180"/>
      <c r="G338" s="180"/>
      <c r="H338" s="181"/>
    </row>
    <row r="339" spans="5:8" x14ac:dyDescent="0.25">
      <c r="E339" s="180"/>
      <c r="F339" s="180"/>
      <c r="G339" s="180"/>
      <c r="H339" s="181"/>
    </row>
    <row r="340" spans="5:8" x14ac:dyDescent="0.25">
      <c r="E340" s="180"/>
      <c r="F340" s="180"/>
      <c r="G340" s="180"/>
      <c r="H340" s="181"/>
    </row>
    <row r="341" spans="5:8" x14ac:dyDescent="0.25">
      <c r="E341" s="180"/>
      <c r="F341" s="180"/>
      <c r="G341" s="180"/>
      <c r="H341" s="181"/>
    </row>
    <row r="342" spans="5:8" x14ac:dyDescent="0.25">
      <c r="E342" s="180"/>
      <c r="F342" s="180"/>
      <c r="G342" s="180"/>
      <c r="H342" s="181"/>
    </row>
    <row r="343" spans="5:8" x14ac:dyDescent="0.25">
      <c r="E343" s="180"/>
      <c r="F343" s="180"/>
      <c r="G343" s="180"/>
      <c r="H343" s="181"/>
    </row>
    <row r="344" spans="5:8" x14ac:dyDescent="0.25">
      <c r="E344" s="180"/>
      <c r="F344" s="180"/>
      <c r="G344" s="180"/>
      <c r="H344" s="181"/>
    </row>
    <row r="345" spans="5:8" x14ac:dyDescent="0.25">
      <c r="E345" s="180"/>
      <c r="F345" s="180"/>
      <c r="G345" s="180"/>
      <c r="H345" s="181"/>
    </row>
    <row r="346" spans="5:8" x14ac:dyDescent="0.25">
      <c r="E346" s="180"/>
      <c r="F346" s="180"/>
      <c r="G346" s="180"/>
      <c r="H346" s="181"/>
    </row>
    <row r="347" spans="5:8" x14ac:dyDescent="0.25">
      <c r="E347" s="180"/>
      <c r="F347" s="180"/>
      <c r="G347" s="180"/>
      <c r="H347" s="181"/>
    </row>
    <row r="348" spans="5:8" x14ac:dyDescent="0.25">
      <c r="E348" s="180"/>
      <c r="F348" s="180"/>
      <c r="G348" s="180"/>
      <c r="H348" s="181"/>
    </row>
    <row r="349" spans="5:8" x14ac:dyDescent="0.25">
      <c r="E349" s="180"/>
      <c r="F349" s="180"/>
      <c r="G349" s="180"/>
      <c r="H349" s="181"/>
    </row>
    <row r="350" spans="5:8" x14ac:dyDescent="0.25">
      <c r="E350" s="180"/>
      <c r="F350" s="180"/>
      <c r="G350" s="180"/>
      <c r="H350" s="181"/>
    </row>
    <row r="351" spans="5:8" x14ac:dyDescent="0.25">
      <c r="E351" s="180"/>
      <c r="F351" s="180"/>
      <c r="G351" s="180"/>
      <c r="H351" s="181"/>
    </row>
    <row r="352" spans="5:8" x14ac:dyDescent="0.25">
      <c r="E352" s="180"/>
      <c r="F352" s="180"/>
      <c r="G352" s="180"/>
      <c r="H352" s="181"/>
    </row>
    <row r="353" spans="5:8" x14ac:dyDescent="0.25">
      <c r="E353" s="180"/>
      <c r="F353" s="180"/>
      <c r="G353" s="180"/>
      <c r="H353" s="181"/>
    </row>
    <row r="354" spans="5:8" x14ac:dyDescent="0.25">
      <c r="E354" s="180"/>
      <c r="F354" s="180"/>
      <c r="G354" s="180"/>
      <c r="H354" s="181"/>
    </row>
    <row r="355" spans="5:8" x14ac:dyDescent="0.25">
      <c r="E355" s="180"/>
      <c r="F355" s="180"/>
      <c r="G355" s="180"/>
      <c r="H355" s="181"/>
    </row>
    <row r="356" spans="5:8" x14ac:dyDescent="0.25">
      <c r="E356" s="180"/>
      <c r="F356" s="180"/>
      <c r="G356" s="180"/>
      <c r="H356" s="181"/>
    </row>
    <row r="357" spans="5:8" x14ac:dyDescent="0.25">
      <c r="E357" s="180"/>
      <c r="F357" s="180"/>
      <c r="G357" s="180"/>
      <c r="H357" s="181"/>
    </row>
    <row r="358" spans="5:8" x14ac:dyDescent="0.25">
      <c r="E358" s="180"/>
      <c r="F358" s="180"/>
      <c r="G358" s="180"/>
      <c r="H358" s="181"/>
    </row>
    <row r="359" spans="5:8" x14ac:dyDescent="0.25">
      <c r="E359" s="180"/>
      <c r="F359" s="180"/>
      <c r="G359" s="180"/>
      <c r="H359" s="181"/>
    </row>
    <row r="360" spans="5:8" x14ac:dyDescent="0.25">
      <c r="E360" s="180"/>
      <c r="F360" s="180"/>
      <c r="G360" s="180"/>
      <c r="H360" s="181"/>
    </row>
    <row r="361" spans="5:8" x14ac:dyDescent="0.25">
      <c r="E361" s="180"/>
      <c r="F361" s="180"/>
      <c r="G361" s="180"/>
      <c r="H361" s="181"/>
    </row>
    <row r="362" spans="5:8" x14ac:dyDescent="0.25">
      <c r="E362" s="180"/>
      <c r="F362" s="180"/>
      <c r="G362" s="180"/>
      <c r="H362" s="181"/>
    </row>
    <row r="363" spans="5:8" x14ac:dyDescent="0.25">
      <c r="E363" s="180"/>
      <c r="F363" s="180"/>
      <c r="G363" s="180"/>
      <c r="H363" s="181"/>
    </row>
    <row r="364" spans="5:8" x14ac:dyDescent="0.25">
      <c r="E364" s="180"/>
      <c r="F364" s="180"/>
      <c r="G364" s="180"/>
      <c r="H364" s="181"/>
    </row>
    <row r="365" spans="5:8" x14ac:dyDescent="0.25">
      <c r="E365" s="180"/>
      <c r="F365" s="180"/>
      <c r="G365" s="180"/>
      <c r="H365" s="181"/>
    </row>
    <row r="366" spans="5:8" x14ac:dyDescent="0.25">
      <c r="E366" s="180"/>
      <c r="F366" s="180"/>
      <c r="G366" s="180"/>
      <c r="H366" s="181"/>
    </row>
    <row r="367" spans="5:8" x14ac:dyDescent="0.25">
      <c r="E367" s="180"/>
      <c r="F367" s="180"/>
      <c r="G367" s="180"/>
      <c r="H367" s="181"/>
    </row>
    <row r="368" spans="5:8" x14ac:dyDescent="0.25">
      <c r="E368" s="180"/>
      <c r="F368" s="180"/>
      <c r="G368" s="180"/>
      <c r="H368" s="181"/>
    </row>
    <row r="369" spans="5:8" x14ac:dyDescent="0.25">
      <c r="E369" s="180"/>
      <c r="F369" s="180"/>
      <c r="G369" s="180"/>
      <c r="H369" s="181"/>
    </row>
    <row r="370" spans="5:8" x14ac:dyDescent="0.25">
      <c r="E370" s="180"/>
      <c r="F370" s="180"/>
      <c r="G370" s="180"/>
      <c r="H370" s="181"/>
    </row>
    <row r="371" spans="5:8" x14ac:dyDescent="0.25">
      <c r="E371" s="180"/>
      <c r="F371" s="180"/>
      <c r="G371" s="180"/>
      <c r="H371" s="181"/>
    </row>
    <row r="372" spans="5:8" x14ac:dyDescent="0.25">
      <c r="E372" s="180"/>
      <c r="F372" s="180"/>
      <c r="G372" s="180"/>
      <c r="H372" s="181"/>
    </row>
    <row r="373" spans="5:8" x14ac:dyDescent="0.25">
      <c r="E373" s="180"/>
      <c r="F373" s="180"/>
      <c r="G373" s="180"/>
      <c r="H373" s="181"/>
    </row>
    <row r="374" spans="5:8" x14ac:dyDescent="0.25">
      <c r="E374" s="180"/>
      <c r="F374" s="180"/>
      <c r="G374" s="180"/>
      <c r="H374" s="181"/>
    </row>
    <row r="375" spans="5:8" x14ac:dyDescent="0.25">
      <c r="E375" s="180"/>
      <c r="F375" s="180"/>
      <c r="G375" s="180"/>
      <c r="H375" s="181"/>
    </row>
    <row r="376" spans="5:8" x14ac:dyDescent="0.25">
      <c r="E376" s="180"/>
      <c r="F376" s="180"/>
      <c r="G376" s="180"/>
      <c r="H376" s="181"/>
    </row>
    <row r="377" spans="5:8" x14ac:dyDescent="0.25">
      <c r="E377" s="180"/>
      <c r="F377" s="180"/>
      <c r="G377" s="180"/>
      <c r="H377" s="181"/>
    </row>
    <row r="378" spans="5:8" x14ac:dyDescent="0.25">
      <c r="E378" s="180"/>
      <c r="F378" s="180"/>
      <c r="G378" s="180"/>
      <c r="H378" s="181"/>
    </row>
    <row r="379" spans="5:8" x14ac:dyDescent="0.25">
      <c r="E379" s="180"/>
      <c r="F379" s="180"/>
      <c r="G379" s="180"/>
      <c r="H379" s="181"/>
    </row>
    <row r="380" spans="5:8" x14ac:dyDescent="0.25">
      <c r="E380" s="180"/>
      <c r="F380" s="180"/>
      <c r="G380" s="180"/>
      <c r="H380" s="181"/>
    </row>
    <row r="381" spans="5:8" x14ac:dyDescent="0.25">
      <c r="E381" s="180"/>
      <c r="F381" s="180"/>
      <c r="G381" s="180"/>
      <c r="H381" s="181"/>
    </row>
    <row r="382" spans="5:8" x14ac:dyDescent="0.25">
      <c r="E382" s="180"/>
      <c r="F382" s="180"/>
      <c r="G382" s="180"/>
      <c r="H382" s="181"/>
    </row>
    <row r="383" spans="5:8" x14ac:dyDescent="0.25">
      <c r="E383" s="180"/>
      <c r="F383" s="180"/>
      <c r="G383" s="180"/>
      <c r="H383" s="181"/>
    </row>
    <row r="384" spans="5:8" x14ac:dyDescent="0.25">
      <c r="E384" s="180"/>
      <c r="F384" s="180"/>
      <c r="G384" s="180"/>
      <c r="H384" s="181"/>
    </row>
    <row r="385" spans="5:8" x14ac:dyDescent="0.25">
      <c r="E385" s="180"/>
      <c r="F385" s="180"/>
      <c r="G385" s="180"/>
      <c r="H385" s="181"/>
    </row>
    <row r="386" spans="5:8" x14ac:dyDescent="0.25">
      <c r="E386" s="180"/>
      <c r="F386" s="180"/>
      <c r="G386" s="180"/>
      <c r="H386" s="181"/>
    </row>
    <row r="387" spans="5:8" x14ac:dyDescent="0.25">
      <c r="E387" s="180"/>
      <c r="F387" s="180"/>
      <c r="G387" s="180"/>
      <c r="H387" s="181"/>
    </row>
    <row r="388" spans="5:8" x14ac:dyDescent="0.25">
      <c r="E388" s="180"/>
      <c r="F388" s="180"/>
      <c r="G388" s="180"/>
      <c r="H388" s="181"/>
    </row>
    <row r="389" spans="5:8" x14ac:dyDescent="0.25">
      <c r="E389" s="180"/>
      <c r="F389" s="180"/>
      <c r="G389" s="180"/>
      <c r="H389" s="181"/>
    </row>
    <row r="390" spans="5:8" x14ac:dyDescent="0.25">
      <c r="E390" s="180"/>
      <c r="F390" s="180"/>
      <c r="G390" s="180"/>
      <c r="H390" s="181"/>
    </row>
    <row r="391" spans="5:8" x14ac:dyDescent="0.25">
      <c r="E391" s="180"/>
      <c r="F391" s="180"/>
      <c r="G391" s="180"/>
      <c r="H391" s="181"/>
    </row>
    <row r="392" spans="5:8" x14ac:dyDescent="0.25">
      <c r="E392" s="180"/>
      <c r="F392" s="180"/>
      <c r="G392" s="180"/>
      <c r="H392" s="181"/>
    </row>
    <row r="393" spans="5:8" x14ac:dyDescent="0.25">
      <c r="E393" s="180"/>
      <c r="F393" s="180"/>
      <c r="G393" s="180"/>
      <c r="H393" s="181"/>
    </row>
    <row r="394" spans="5:8" x14ac:dyDescent="0.25">
      <c r="E394" s="180"/>
      <c r="F394" s="180"/>
      <c r="G394" s="180"/>
      <c r="H394" s="181"/>
    </row>
    <row r="395" spans="5:8" x14ac:dyDescent="0.25">
      <c r="E395" s="180"/>
      <c r="F395" s="180"/>
      <c r="G395" s="180"/>
      <c r="H395" s="181"/>
    </row>
    <row r="396" spans="5:8" x14ac:dyDescent="0.25">
      <c r="E396" s="180"/>
      <c r="F396" s="180"/>
      <c r="G396" s="180"/>
      <c r="H396" s="181"/>
    </row>
    <row r="397" spans="5:8" x14ac:dyDescent="0.25">
      <c r="E397" s="180"/>
      <c r="F397" s="180"/>
      <c r="G397" s="180"/>
      <c r="H397" s="181"/>
    </row>
    <row r="398" spans="5:8" x14ac:dyDescent="0.25">
      <c r="E398" s="180"/>
      <c r="F398" s="180"/>
      <c r="G398" s="180"/>
      <c r="H398" s="181"/>
    </row>
    <row r="399" spans="5:8" x14ac:dyDescent="0.25">
      <c r="E399" s="180"/>
      <c r="F399" s="180"/>
      <c r="G399" s="180"/>
      <c r="H399" s="181"/>
    </row>
    <row r="400" spans="5:8" x14ac:dyDescent="0.25">
      <c r="E400" s="180"/>
      <c r="F400" s="180"/>
      <c r="G400" s="180"/>
      <c r="H400" s="181"/>
    </row>
    <row r="401" spans="5:8" x14ac:dyDescent="0.25">
      <c r="E401" s="180"/>
      <c r="F401" s="180"/>
      <c r="G401" s="180"/>
      <c r="H401" s="181"/>
    </row>
    <row r="402" spans="5:8" x14ac:dyDescent="0.25">
      <c r="E402" s="180"/>
      <c r="F402" s="180"/>
      <c r="G402" s="180"/>
      <c r="H402" s="181"/>
    </row>
    <row r="403" spans="5:8" x14ac:dyDescent="0.25">
      <c r="E403" s="180"/>
      <c r="F403" s="180"/>
      <c r="G403" s="180"/>
      <c r="H403" s="181"/>
    </row>
    <row r="404" spans="5:8" x14ac:dyDescent="0.25">
      <c r="E404" s="180"/>
      <c r="F404" s="180"/>
      <c r="G404" s="180"/>
      <c r="H404" s="181"/>
    </row>
    <row r="405" spans="5:8" x14ac:dyDescent="0.25">
      <c r="E405" s="180"/>
      <c r="F405" s="180"/>
      <c r="G405" s="180"/>
      <c r="H405" s="181"/>
    </row>
    <row r="406" spans="5:8" x14ac:dyDescent="0.25">
      <c r="E406" s="180"/>
      <c r="F406" s="180"/>
      <c r="G406" s="180"/>
      <c r="H406" s="181"/>
    </row>
    <row r="407" spans="5:8" x14ac:dyDescent="0.25">
      <c r="E407" s="180"/>
      <c r="F407" s="180"/>
      <c r="G407" s="180"/>
      <c r="H407" s="181"/>
    </row>
    <row r="408" spans="5:8" x14ac:dyDescent="0.25">
      <c r="E408" s="180"/>
      <c r="F408" s="180"/>
      <c r="G408" s="180"/>
      <c r="H408" s="181"/>
    </row>
    <row r="409" spans="5:8" x14ac:dyDescent="0.25">
      <c r="E409" s="180"/>
      <c r="F409" s="180"/>
      <c r="G409" s="180"/>
      <c r="H409" s="181"/>
    </row>
    <row r="410" spans="5:8" x14ac:dyDescent="0.25">
      <c r="E410" s="180"/>
      <c r="F410" s="180"/>
      <c r="G410" s="180"/>
      <c r="H410" s="181"/>
    </row>
    <row r="411" spans="5:8" x14ac:dyDescent="0.25">
      <c r="E411" s="180"/>
      <c r="F411" s="180"/>
      <c r="G411" s="180"/>
      <c r="H411" s="181"/>
    </row>
    <row r="412" spans="5:8" x14ac:dyDescent="0.25">
      <c r="E412" s="180"/>
      <c r="F412" s="180"/>
      <c r="G412" s="180"/>
      <c r="H412" s="181"/>
    </row>
    <row r="413" spans="5:8" x14ac:dyDescent="0.25">
      <c r="E413" s="180"/>
      <c r="F413" s="180"/>
      <c r="G413" s="180"/>
      <c r="H413" s="181"/>
    </row>
    <row r="414" spans="5:8" x14ac:dyDescent="0.25">
      <c r="E414" s="180"/>
      <c r="F414" s="180"/>
      <c r="G414" s="180"/>
      <c r="H414" s="181"/>
    </row>
    <row r="415" spans="5:8" x14ac:dyDescent="0.25">
      <c r="E415" s="180"/>
      <c r="F415" s="180"/>
      <c r="G415" s="180"/>
      <c r="H415" s="181"/>
    </row>
    <row r="416" spans="5:8" x14ac:dyDescent="0.25">
      <c r="E416" s="180"/>
      <c r="F416" s="180"/>
      <c r="G416" s="180"/>
      <c r="H416" s="181"/>
    </row>
  </sheetData>
  <mergeCells count="45">
    <mergeCell ref="B253:C261"/>
    <mergeCell ref="B262:C269"/>
    <mergeCell ref="B299:C300"/>
    <mergeCell ref="B301:C301"/>
    <mergeCell ref="B302:C302"/>
    <mergeCell ref="B277:C282"/>
    <mergeCell ref="B283:C285"/>
    <mergeCell ref="B286:C290"/>
    <mergeCell ref="B291:C291"/>
    <mergeCell ref="B292:C296"/>
    <mergeCell ref="B297:C298"/>
    <mergeCell ref="B271:B276"/>
    <mergeCell ref="C271:C273"/>
    <mergeCell ref="C274:C276"/>
    <mergeCell ref="B208:B225"/>
    <mergeCell ref="C208:C209"/>
    <mergeCell ref="C210:C211"/>
    <mergeCell ref="C212:C213"/>
    <mergeCell ref="C214:C215"/>
    <mergeCell ref="C216:C217"/>
    <mergeCell ref="C218:C219"/>
    <mergeCell ref="C220:C221"/>
    <mergeCell ref="C222:C223"/>
    <mergeCell ref="C224:C225"/>
    <mergeCell ref="B226:C234"/>
    <mergeCell ref="B235:C243"/>
    <mergeCell ref="B244:C252"/>
    <mergeCell ref="J5:O5"/>
    <mergeCell ref="B201:C207"/>
    <mergeCell ref="B50:G50"/>
    <mergeCell ref="B63:G63"/>
    <mergeCell ref="B76:G76"/>
    <mergeCell ref="B86:G86"/>
    <mergeCell ref="B96:G96"/>
    <mergeCell ref="B106:D106"/>
    <mergeCell ref="B107:C107"/>
    <mergeCell ref="B108:C116"/>
    <mergeCell ref="B117:C157"/>
    <mergeCell ref="B158:C166"/>
    <mergeCell ref="B167:C200"/>
    <mergeCell ref="B25:G25"/>
    <mergeCell ref="B2:C2"/>
    <mergeCell ref="B3:C3"/>
    <mergeCell ref="B4:C4"/>
    <mergeCell ref="B5:G5"/>
  </mergeCells>
  <printOptions horizontalCentered="1"/>
  <pageMargins left="0.19685039370078741" right="0.19685039370078741" top="0.39370078740157483" bottom="0.39370078740157483" header="0" footer="0"/>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41"/>
  <sheetViews>
    <sheetView topLeftCell="B1" zoomScaleSheetLayoutView="130" workbookViewId="0">
      <selection activeCell="I5" sqref="I5"/>
    </sheetView>
  </sheetViews>
  <sheetFormatPr defaultRowHeight="15" x14ac:dyDescent="0.25"/>
  <cols>
    <col min="1" max="1" width="7.42578125" customWidth="1"/>
    <col min="2" max="2" width="6.28515625" style="138" customWidth="1"/>
    <col min="3" max="3" width="12.42578125" style="138" customWidth="1"/>
    <col min="4" max="4" width="18" style="138" bestFit="1" customWidth="1"/>
    <col min="5" max="5" width="10.42578125" style="138" customWidth="1"/>
    <col min="6" max="6" width="13.140625" style="138" customWidth="1"/>
    <col min="7" max="7" width="11.7109375" style="138" customWidth="1"/>
    <col min="8" max="8" width="28.28515625" customWidth="1"/>
    <col min="9" max="9" width="22.140625" customWidth="1"/>
    <col min="11" max="11" width="16" customWidth="1"/>
    <col min="12" max="12" width="15.42578125" customWidth="1"/>
    <col min="13" max="13" width="17.140625" customWidth="1"/>
    <col min="14" max="14" width="15.85546875" customWidth="1"/>
  </cols>
  <sheetData>
    <row r="2" spans="2:14" ht="15.75" x14ac:dyDescent="0.25">
      <c r="B2" s="214" t="s">
        <v>178</v>
      </c>
      <c r="C2" s="214"/>
      <c r="D2" s="116" t="s">
        <v>179</v>
      </c>
      <c r="E2" s="117"/>
      <c r="F2" s="117"/>
      <c r="G2" s="118"/>
      <c r="H2" s="119"/>
    </row>
    <row r="3" spans="2:14" ht="15" customHeight="1" x14ac:dyDescent="0.25">
      <c r="B3" s="214" t="s">
        <v>36</v>
      </c>
      <c r="C3" s="214"/>
      <c r="D3" s="120" t="s">
        <v>180</v>
      </c>
      <c r="E3" s="121"/>
      <c r="F3" s="121"/>
      <c r="G3" s="121"/>
      <c r="H3" s="122"/>
    </row>
    <row r="4" spans="2:14" ht="15" customHeight="1" x14ac:dyDescent="0.25">
      <c r="B4" s="215" t="s">
        <v>181</v>
      </c>
      <c r="C4" s="215"/>
      <c r="D4" s="123" t="s">
        <v>182</v>
      </c>
      <c r="E4" s="124"/>
      <c r="F4" s="124"/>
      <c r="G4" s="124"/>
      <c r="H4" s="125"/>
    </row>
    <row r="5" spans="2:14" ht="15" customHeight="1" x14ac:dyDescent="0.25">
      <c r="B5" s="227" t="s">
        <v>183</v>
      </c>
      <c r="C5" s="228"/>
      <c r="D5" s="228"/>
      <c r="E5" s="228"/>
      <c r="F5" s="228"/>
      <c r="G5" s="228"/>
      <c r="H5" s="228"/>
      <c r="K5" s="144"/>
      <c r="L5" s="144" t="s">
        <v>368</v>
      </c>
      <c r="M5" s="144" t="s">
        <v>369</v>
      </c>
      <c r="N5" s="144" t="s">
        <v>370</v>
      </c>
    </row>
    <row r="6" spans="2:14" ht="15" customHeight="1" x14ac:dyDescent="0.25">
      <c r="B6" s="126" t="s">
        <v>184</v>
      </c>
      <c r="C6" s="126" t="s">
        <v>185</v>
      </c>
      <c r="D6" s="126" t="s">
        <v>186</v>
      </c>
      <c r="E6" s="127" t="s">
        <v>187</v>
      </c>
      <c r="F6" s="127" t="s">
        <v>188</v>
      </c>
      <c r="G6" s="126" t="s">
        <v>189</v>
      </c>
      <c r="H6" s="126" t="s">
        <v>190</v>
      </c>
      <c r="K6" s="144" t="s">
        <v>359</v>
      </c>
      <c r="L6" s="160">
        <v>7800</v>
      </c>
      <c r="M6" s="160">
        <v>6395</v>
      </c>
      <c r="N6" s="161">
        <f>+L6-M6</f>
        <v>1405</v>
      </c>
    </row>
    <row r="7" spans="2:14" ht="15" customHeight="1" x14ac:dyDescent="0.25">
      <c r="B7" s="128">
        <v>1</v>
      </c>
      <c r="C7" s="129">
        <v>44841</v>
      </c>
      <c r="D7" s="128">
        <v>7800</v>
      </c>
      <c r="E7" s="128"/>
      <c r="F7" s="128"/>
      <c r="G7" s="128">
        <v>801</v>
      </c>
      <c r="H7" s="128">
        <v>7800</v>
      </c>
      <c r="K7" s="144" t="s">
        <v>360</v>
      </c>
      <c r="L7" s="160">
        <v>3000</v>
      </c>
      <c r="M7" s="160">
        <v>2482</v>
      </c>
      <c r="N7" s="161">
        <f t="shared" ref="N7:N12" si="0">+L7-M7</f>
        <v>518</v>
      </c>
    </row>
    <row r="8" spans="2:14" ht="15" customHeight="1" x14ac:dyDescent="0.25">
      <c r="B8" s="130"/>
      <c r="C8" s="131"/>
      <c r="D8" s="132"/>
      <c r="E8" s="132"/>
      <c r="F8" s="132"/>
      <c r="G8" s="132"/>
      <c r="H8" s="132"/>
      <c r="K8" s="144" t="s">
        <v>361</v>
      </c>
      <c r="L8" s="160">
        <v>2900</v>
      </c>
      <c r="M8" s="160">
        <v>2454</v>
      </c>
      <c r="N8" s="161">
        <f t="shared" si="0"/>
        <v>446</v>
      </c>
    </row>
    <row r="9" spans="2:14" ht="15" customHeight="1" x14ac:dyDescent="0.25">
      <c r="B9" s="229" t="s">
        <v>191</v>
      </c>
      <c r="C9" s="230"/>
      <c r="D9" s="230"/>
      <c r="E9" s="230"/>
      <c r="F9" s="230"/>
      <c r="G9" s="230"/>
      <c r="H9" s="230"/>
      <c r="K9" s="144" t="s">
        <v>362</v>
      </c>
      <c r="L9" s="160">
        <v>1600</v>
      </c>
      <c r="M9" s="160">
        <v>1493</v>
      </c>
      <c r="N9" s="161">
        <f t="shared" si="0"/>
        <v>107</v>
      </c>
    </row>
    <row r="10" spans="2:14" ht="15" customHeight="1" x14ac:dyDescent="0.25">
      <c r="B10" s="126" t="s">
        <v>184</v>
      </c>
      <c r="C10" s="126" t="s">
        <v>185</v>
      </c>
      <c r="D10" s="126" t="s">
        <v>186</v>
      </c>
      <c r="E10" s="127" t="s">
        <v>187</v>
      </c>
      <c r="F10" s="127" t="s">
        <v>188</v>
      </c>
      <c r="G10" s="126" t="s">
        <v>189</v>
      </c>
      <c r="H10" s="126" t="s">
        <v>190</v>
      </c>
      <c r="K10" s="144" t="s">
        <v>363</v>
      </c>
      <c r="L10" s="160">
        <v>48</v>
      </c>
      <c r="M10" s="160">
        <v>48</v>
      </c>
      <c r="N10" s="161">
        <f t="shared" si="0"/>
        <v>0</v>
      </c>
    </row>
    <row r="11" spans="2:14" ht="15" customHeight="1" x14ac:dyDescent="0.25">
      <c r="B11" s="128">
        <v>1</v>
      </c>
      <c r="C11" s="129">
        <v>44853</v>
      </c>
      <c r="D11" s="128">
        <v>900</v>
      </c>
      <c r="E11" s="128"/>
      <c r="F11" s="128"/>
      <c r="G11" s="128">
        <v>807</v>
      </c>
      <c r="H11" s="218">
        <f>+SUM(D11:F15)</f>
        <v>3000</v>
      </c>
      <c r="K11" s="144" t="s">
        <v>364</v>
      </c>
      <c r="L11" s="160">
        <v>3636</v>
      </c>
      <c r="M11" s="160">
        <v>3186</v>
      </c>
      <c r="N11" s="161">
        <f t="shared" si="0"/>
        <v>450</v>
      </c>
    </row>
    <row r="12" spans="2:14" ht="15" customHeight="1" x14ac:dyDescent="0.25">
      <c r="B12" s="128">
        <v>2</v>
      </c>
      <c r="C12" s="129">
        <v>44870</v>
      </c>
      <c r="D12" s="128">
        <v>600</v>
      </c>
      <c r="E12" s="128"/>
      <c r="F12" s="128"/>
      <c r="G12" s="128">
        <v>813</v>
      </c>
      <c r="H12" s="218"/>
      <c r="K12" s="144" t="s">
        <v>365</v>
      </c>
      <c r="L12" s="160">
        <v>12</v>
      </c>
      <c r="M12" s="160"/>
      <c r="N12" s="161">
        <f t="shared" si="0"/>
        <v>12</v>
      </c>
    </row>
    <row r="13" spans="2:14" ht="15" customHeight="1" x14ac:dyDescent="0.25">
      <c r="B13" s="128">
        <v>3</v>
      </c>
      <c r="C13" s="129">
        <v>44882</v>
      </c>
      <c r="D13" s="128">
        <v>600</v>
      </c>
      <c r="E13" s="128"/>
      <c r="F13" s="128"/>
      <c r="G13" s="133">
        <v>820</v>
      </c>
      <c r="H13" s="218"/>
      <c r="K13" s="144" t="s">
        <v>366</v>
      </c>
      <c r="L13" s="160"/>
      <c r="M13" s="160"/>
      <c r="N13" s="144"/>
    </row>
    <row r="14" spans="2:14" ht="15" customHeight="1" x14ac:dyDescent="0.25">
      <c r="B14" s="128">
        <v>4</v>
      </c>
      <c r="C14" s="129">
        <v>44902</v>
      </c>
      <c r="D14" s="128">
        <v>450</v>
      </c>
      <c r="E14" s="128"/>
      <c r="F14" s="128"/>
      <c r="G14" s="133">
        <v>834</v>
      </c>
      <c r="H14" s="218"/>
      <c r="K14" s="144" t="s">
        <v>367</v>
      </c>
      <c r="L14" s="144"/>
      <c r="M14" s="144"/>
      <c r="N14" s="144"/>
    </row>
    <row r="15" spans="2:14" ht="15" customHeight="1" x14ac:dyDescent="0.25">
      <c r="B15" s="128">
        <v>5</v>
      </c>
      <c r="C15" s="129">
        <v>44904</v>
      </c>
      <c r="D15" s="128">
        <v>450</v>
      </c>
      <c r="E15" s="128"/>
      <c r="F15" s="128"/>
      <c r="G15" s="133">
        <v>836</v>
      </c>
      <c r="H15" s="218"/>
      <c r="K15" s="144"/>
      <c r="L15" s="160">
        <f>SUM(L6:L14)</f>
        <v>18996</v>
      </c>
      <c r="M15" s="160">
        <v>16058</v>
      </c>
      <c r="N15" s="161">
        <f>+SUM(N6:N12)</f>
        <v>2938</v>
      </c>
    </row>
    <row r="16" spans="2:14" ht="15" customHeight="1" x14ac:dyDescent="0.25">
      <c r="B16" s="220" t="s">
        <v>192</v>
      </c>
      <c r="C16" s="221"/>
      <c r="D16" s="221"/>
      <c r="E16" s="221"/>
      <c r="F16" s="221"/>
      <c r="G16" s="221"/>
      <c r="H16" s="221"/>
    </row>
    <row r="17" spans="2:8" ht="15" customHeight="1" x14ac:dyDescent="0.25">
      <c r="B17" s="126" t="s">
        <v>184</v>
      </c>
      <c r="C17" s="126" t="s">
        <v>185</v>
      </c>
      <c r="D17" s="126" t="s">
        <v>186</v>
      </c>
      <c r="E17" s="127" t="s">
        <v>187</v>
      </c>
      <c r="F17" s="127" t="s">
        <v>188</v>
      </c>
      <c r="G17" s="126" t="s">
        <v>189</v>
      </c>
      <c r="H17" s="126" t="s">
        <v>190</v>
      </c>
    </row>
    <row r="18" spans="2:8" ht="15" customHeight="1" x14ac:dyDescent="0.25">
      <c r="B18" s="128">
        <v>1</v>
      </c>
      <c r="C18" s="129">
        <v>44853</v>
      </c>
      <c r="D18" s="128">
        <v>1000</v>
      </c>
      <c r="E18" s="128"/>
      <c r="F18" s="128"/>
      <c r="G18" s="128">
        <v>804</v>
      </c>
      <c r="H18" s="222">
        <f>+SUM(D18:D21)</f>
        <v>2900</v>
      </c>
    </row>
    <row r="19" spans="2:8" ht="15" customHeight="1" x14ac:dyDescent="0.25">
      <c r="B19" s="134">
        <v>2</v>
      </c>
      <c r="C19" s="135">
        <v>44871</v>
      </c>
      <c r="D19" s="134">
        <v>1000</v>
      </c>
      <c r="E19" s="134"/>
      <c r="F19" s="134"/>
      <c r="G19" s="128">
        <v>812</v>
      </c>
      <c r="H19" s="223"/>
    </row>
    <row r="20" spans="2:8" ht="15" customHeight="1" x14ac:dyDescent="0.25">
      <c r="B20" s="134">
        <v>3</v>
      </c>
      <c r="C20" s="135">
        <v>44895</v>
      </c>
      <c r="D20" s="134">
        <v>600</v>
      </c>
      <c r="E20" s="134"/>
      <c r="F20" s="134"/>
      <c r="G20" s="133">
        <v>827</v>
      </c>
      <c r="H20" s="223"/>
    </row>
    <row r="21" spans="2:8" ht="15" customHeight="1" x14ac:dyDescent="0.25">
      <c r="B21" s="134">
        <v>4</v>
      </c>
      <c r="C21" s="135">
        <v>44936</v>
      </c>
      <c r="D21" s="134">
        <v>300</v>
      </c>
      <c r="E21" s="134"/>
      <c r="F21" s="134"/>
      <c r="G21" s="128">
        <v>853</v>
      </c>
      <c r="H21" s="223"/>
    </row>
    <row r="22" spans="2:8" ht="15" customHeight="1" x14ac:dyDescent="0.25">
      <c r="B22" s="220" t="s">
        <v>193</v>
      </c>
      <c r="C22" s="221"/>
      <c r="D22" s="221"/>
      <c r="E22" s="221"/>
      <c r="F22" s="221"/>
      <c r="G22" s="221"/>
      <c r="H22" s="221"/>
    </row>
    <row r="23" spans="2:8" ht="15" customHeight="1" x14ac:dyDescent="0.25">
      <c r="B23" s="126" t="s">
        <v>184</v>
      </c>
      <c r="C23" s="126" t="s">
        <v>185</v>
      </c>
      <c r="D23" s="126" t="s">
        <v>186</v>
      </c>
      <c r="E23" s="127" t="s">
        <v>187</v>
      </c>
      <c r="F23" s="127" t="s">
        <v>188</v>
      </c>
      <c r="G23" s="126" t="s">
        <v>189</v>
      </c>
      <c r="H23" s="126" t="s">
        <v>190</v>
      </c>
    </row>
    <row r="24" spans="2:8" ht="15" customHeight="1" x14ac:dyDescent="0.25">
      <c r="B24" s="128">
        <v>1</v>
      </c>
      <c r="C24" s="129">
        <v>44842</v>
      </c>
      <c r="D24" s="128">
        <v>1000</v>
      </c>
      <c r="E24" s="128"/>
      <c r="F24" s="128"/>
      <c r="G24" s="128">
        <v>802</v>
      </c>
      <c r="H24" s="224">
        <f>+SUM(D24:D25)</f>
        <v>1600</v>
      </c>
    </row>
    <row r="25" spans="2:8" ht="15" customHeight="1" x14ac:dyDescent="0.25">
      <c r="B25" s="128">
        <v>2</v>
      </c>
      <c r="C25" s="129">
        <v>44880</v>
      </c>
      <c r="D25" s="128">
        <v>600</v>
      </c>
      <c r="E25" s="128"/>
      <c r="F25" s="128"/>
      <c r="G25" s="133">
        <v>818</v>
      </c>
      <c r="H25" s="225"/>
    </row>
    <row r="26" spans="2:8" ht="15" customHeight="1" x14ac:dyDescent="0.25">
      <c r="B26" s="128"/>
      <c r="C26" s="129"/>
      <c r="D26" s="128"/>
      <c r="E26" s="128"/>
      <c r="F26" s="128"/>
      <c r="G26" s="128"/>
      <c r="H26" s="136"/>
    </row>
    <row r="27" spans="2:8" ht="15" customHeight="1" x14ac:dyDescent="0.25">
      <c r="B27" s="220" t="s">
        <v>194</v>
      </c>
      <c r="C27" s="221"/>
      <c r="D27" s="221"/>
      <c r="E27" s="221"/>
      <c r="F27" s="221"/>
      <c r="G27" s="221"/>
      <c r="H27" s="221"/>
    </row>
    <row r="28" spans="2:8" ht="15" customHeight="1" x14ac:dyDescent="0.25">
      <c r="B28" s="126" t="s">
        <v>184</v>
      </c>
      <c r="C28" s="126" t="s">
        <v>185</v>
      </c>
      <c r="D28" s="126" t="s">
        <v>186</v>
      </c>
      <c r="E28" s="127" t="s">
        <v>187</v>
      </c>
      <c r="F28" s="127" t="s">
        <v>188</v>
      </c>
      <c r="G28" s="126" t="s">
        <v>189</v>
      </c>
      <c r="H28" s="126" t="s">
        <v>190</v>
      </c>
    </row>
    <row r="29" spans="2:8" ht="15" customHeight="1" x14ac:dyDescent="0.25">
      <c r="B29" s="128">
        <v>1</v>
      </c>
      <c r="C29" s="129">
        <v>44886</v>
      </c>
      <c r="D29" s="128">
        <v>48</v>
      </c>
      <c r="E29" s="128"/>
      <c r="F29" s="128"/>
      <c r="G29" s="128">
        <v>819</v>
      </c>
      <c r="H29" s="137">
        <f>+D29</f>
        <v>48</v>
      </c>
    </row>
    <row r="30" spans="2:8" ht="15" customHeight="1" x14ac:dyDescent="0.25">
      <c r="B30" s="132"/>
      <c r="C30" s="131"/>
      <c r="D30" s="132"/>
      <c r="E30" s="132"/>
      <c r="F30" s="132"/>
      <c r="G30" s="132"/>
      <c r="H30" s="137"/>
    </row>
    <row r="31" spans="2:8" ht="15" customHeight="1" x14ac:dyDescent="0.25">
      <c r="B31" s="220" t="s">
        <v>195</v>
      </c>
      <c r="C31" s="221"/>
      <c r="D31" s="221"/>
      <c r="E31" s="221"/>
      <c r="F31" s="221"/>
      <c r="G31" s="221"/>
      <c r="H31" s="221"/>
    </row>
    <row r="32" spans="2:8" ht="15" customHeight="1" x14ac:dyDescent="0.25">
      <c r="B32" s="126" t="s">
        <v>184</v>
      </c>
      <c r="C32" s="126" t="s">
        <v>185</v>
      </c>
      <c r="D32" s="126" t="s">
        <v>186</v>
      </c>
      <c r="E32" s="127" t="s">
        <v>187</v>
      </c>
      <c r="F32" s="127" t="s">
        <v>188</v>
      </c>
      <c r="G32" s="126" t="s">
        <v>189</v>
      </c>
      <c r="H32" s="126" t="s">
        <v>190</v>
      </c>
    </row>
    <row r="33" spans="2:9" ht="15" customHeight="1" x14ac:dyDescent="0.25">
      <c r="B33" s="128">
        <v>1</v>
      </c>
      <c r="C33" s="129">
        <v>44874</v>
      </c>
      <c r="D33" s="128">
        <v>2160</v>
      </c>
      <c r="E33" s="128"/>
      <c r="F33" s="128"/>
      <c r="G33" s="128">
        <v>815</v>
      </c>
      <c r="H33" s="222">
        <f>+SUM(D33:D36)</f>
        <v>3636</v>
      </c>
    </row>
    <row r="34" spans="2:9" ht="15" customHeight="1" x14ac:dyDescent="0.25">
      <c r="B34" s="128">
        <v>2</v>
      </c>
      <c r="C34" s="129">
        <v>44886</v>
      </c>
      <c r="D34" s="128">
        <v>1320</v>
      </c>
      <c r="E34" s="128"/>
      <c r="F34" s="128"/>
      <c r="G34" s="128">
        <v>821</v>
      </c>
      <c r="H34" s="223"/>
    </row>
    <row r="35" spans="2:9" ht="15" customHeight="1" x14ac:dyDescent="0.25">
      <c r="B35" s="128">
        <v>3</v>
      </c>
      <c r="C35" s="129">
        <v>44936</v>
      </c>
      <c r="D35" s="128">
        <v>120</v>
      </c>
      <c r="E35" s="128"/>
      <c r="F35" s="128"/>
      <c r="G35" s="128">
        <v>853</v>
      </c>
      <c r="H35" s="223"/>
    </row>
    <row r="36" spans="2:9" ht="15" customHeight="1" x14ac:dyDescent="0.25">
      <c r="B36" s="128">
        <v>4</v>
      </c>
      <c r="C36" s="129">
        <v>44982</v>
      </c>
      <c r="D36" s="128">
        <v>36</v>
      </c>
      <c r="E36" s="128"/>
      <c r="F36" s="128"/>
      <c r="G36" s="128">
        <v>876</v>
      </c>
      <c r="H36" s="223"/>
    </row>
    <row r="37" spans="2:9" ht="15" customHeight="1" x14ac:dyDescent="0.25">
      <c r="B37" s="220" t="s">
        <v>196</v>
      </c>
      <c r="C37" s="221"/>
      <c r="D37" s="221"/>
      <c r="E37" s="221"/>
      <c r="F37" s="221"/>
      <c r="G37" s="221"/>
      <c r="H37" s="221"/>
    </row>
    <row r="38" spans="2:9" ht="15" customHeight="1" x14ac:dyDescent="0.25">
      <c r="B38" s="126" t="s">
        <v>184</v>
      </c>
      <c r="C38" s="126" t="s">
        <v>185</v>
      </c>
      <c r="D38" s="126" t="s">
        <v>186</v>
      </c>
      <c r="E38" s="127" t="s">
        <v>187</v>
      </c>
      <c r="F38" s="127" t="s">
        <v>188</v>
      </c>
      <c r="G38" s="126" t="s">
        <v>189</v>
      </c>
      <c r="H38" s="126" t="s">
        <v>190</v>
      </c>
    </row>
    <row r="39" spans="2:9" ht="15" customHeight="1" x14ac:dyDescent="0.25">
      <c r="B39" s="128">
        <v>1</v>
      </c>
      <c r="C39" s="129">
        <v>44982</v>
      </c>
      <c r="D39" s="128">
        <v>12</v>
      </c>
      <c r="E39" s="128"/>
      <c r="F39" s="128"/>
      <c r="G39" s="128">
        <v>876</v>
      </c>
      <c r="H39" s="224">
        <f>+SUM(D39:D41)</f>
        <v>12</v>
      </c>
    </row>
    <row r="40" spans="2:9" ht="15" customHeight="1" x14ac:dyDescent="0.25">
      <c r="B40" s="128">
        <v>2</v>
      </c>
      <c r="C40" s="129"/>
      <c r="D40" s="128"/>
      <c r="E40" s="128"/>
      <c r="F40" s="128"/>
      <c r="G40" s="128"/>
      <c r="H40" s="226"/>
    </row>
    <row r="41" spans="2:9" ht="15" customHeight="1" x14ac:dyDescent="0.25">
      <c r="B41" s="128">
        <v>3</v>
      </c>
      <c r="C41" s="129"/>
      <c r="D41" s="128"/>
      <c r="E41" s="128"/>
      <c r="F41" s="128"/>
      <c r="G41" s="128"/>
      <c r="H41" s="225"/>
    </row>
    <row r="42" spans="2:9" ht="10.5" customHeight="1" x14ac:dyDescent="0.25"/>
    <row r="43" spans="2:9" ht="9" customHeight="1" x14ac:dyDescent="0.25"/>
    <row r="45" spans="2:9" ht="18.75" x14ac:dyDescent="0.25">
      <c r="B45" s="219"/>
      <c r="C45" s="219"/>
      <c r="D45" s="219"/>
      <c r="E45"/>
      <c r="F45"/>
      <c r="G45" s="139"/>
    </row>
    <row r="46" spans="2:9" ht="45" x14ac:dyDescent="0.25">
      <c r="B46" s="213" t="s">
        <v>197</v>
      </c>
      <c r="C46" s="213"/>
      <c r="D46" s="140" t="s">
        <v>198</v>
      </c>
      <c r="E46" s="141" t="s">
        <v>199</v>
      </c>
      <c r="F46" s="141" t="s">
        <v>200</v>
      </c>
      <c r="G46" s="141" t="s">
        <v>201</v>
      </c>
      <c r="H46" s="141" t="s">
        <v>202</v>
      </c>
      <c r="I46" s="141" t="s">
        <v>203</v>
      </c>
    </row>
    <row r="47" spans="2:9" x14ac:dyDescent="0.25">
      <c r="B47" s="204" t="s">
        <v>204</v>
      </c>
      <c r="C47" s="204"/>
      <c r="D47" s="143" t="s">
        <v>205</v>
      </c>
      <c r="E47" s="144">
        <f>10+10</f>
        <v>20</v>
      </c>
      <c r="F47" s="144">
        <f>1+2+1+1</f>
        <v>5</v>
      </c>
      <c r="G47" s="144">
        <f>E47-F47</f>
        <v>15</v>
      </c>
      <c r="H47" s="144" t="s">
        <v>206</v>
      </c>
      <c r="I47" s="145" t="s">
        <v>207</v>
      </c>
    </row>
    <row r="48" spans="2:9" x14ac:dyDescent="0.25">
      <c r="B48" s="204"/>
      <c r="C48" s="204"/>
      <c r="D48" s="143" t="s">
        <v>208</v>
      </c>
      <c r="E48" s="144">
        <f>7+2</f>
        <v>9</v>
      </c>
      <c r="F48" s="144">
        <f>1+1+1</f>
        <v>3</v>
      </c>
      <c r="G48" s="144">
        <f>E48-F48</f>
        <v>6</v>
      </c>
      <c r="H48" s="144" t="s">
        <v>209</v>
      </c>
      <c r="I48" s="144">
        <v>853</v>
      </c>
    </row>
    <row r="49" spans="2:9" x14ac:dyDescent="0.25">
      <c r="B49" s="204"/>
      <c r="C49" s="204"/>
      <c r="D49" s="143" t="s">
        <v>210</v>
      </c>
      <c r="E49" s="144">
        <f>2+3</f>
        <v>5</v>
      </c>
      <c r="F49" s="144">
        <f>1+1</f>
        <v>2</v>
      </c>
      <c r="G49" s="144">
        <f>E49-F49</f>
        <v>3</v>
      </c>
      <c r="H49" s="144" t="s">
        <v>211</v>
      </c>
      <c r="I49" s="144" t="s">
        <v>212</v>
      </c>
    </row>
    <row r="50" spans="2:9" ht="30" x14ac:dyDescent="0.25">
      <c r="B50" s="204"/>
      <c r="C50" s="204"/>
      <c r="D50" s="143" t="s">
        <v>213</v>
      </c>
      <c r="E50" s="144">
        <f>1+7</f>
        <v>8</v>
      </c>
      <c r="F50" s="144">
        <f>2+1+1+1+1+1+1</f>
        <v>8</v>
      </c>
      <c r="G50" s="144">
        <f>E50-F50</f>
        <v>0</v>
      </c>
      <c r="H50" s="146" t="s">
        <v>214</v>
      </c>
      <c r="I50" s="144" t="s">
        <v>215</v>
      </c>
    </row>
    <row r="51" spans="2:9" x14ac:dyDescent="0.25">
      <c r="B51" s="204"/>
      <c r="C51" s="204"/>
      <c r="D51" s="143" t="s">
        <v>216</v>
      </c>
      <c r="E51" s="144"/>
      <c r="F51" s="144"/>
      <c r="G51" s="144"/>
      <c r="H51" s="144"/>
      <c r="I51" s="144"/>
    </row>
    <row r="52" spans="2:9" x14ac:dyDescent="0.25">
      <c r="B52" s="204"/>
      <c r="C52" s="204"/>
      <c r="D52" s="143" t="s">
        <v>217</v>
      </c>
      <c r="E52" s="144"/>
      <c r="F52" s="147"/>
      <c r="G52" s="147"/>
      <c r="H52" s="147"/>
      <c r="I52" s="144"/>
    </row>
    <row r="53" spans="2:9" x14ac:dyDescent="0.25">
      <c r="B53" s="204"/>
      <c r="C53" s="204"/>
      <c r="D53" s="143" t="s">
        <v>218</v>
      </c>
      <c r="E53" s="144">
        <v>1</v>
      </c>
      <c r="F53" s="144"/>
      <c r="G53" s="144">
        <f>E53-F53</f>
        <v>1</v>
      </c>
      <c r="H53" s="144"/>
      <c r="I53" s="144">
        <v>822</v>
      </c>
    </row>
    <row r="54" spans="2:9" x14ac:dyDescent="0.25">
      <c r="B54" s="204"/>
      <c r="C54" s="204"/>
      <c r="D54" s="143" t="s">
        <v>219</v>
      </c>
      <c r="E54" s="144"/>
      <c r="F54" s="144"/>
      <c r="G54" s="144"/>
      <c r="H54" s="144"/>
      <c r="I54" s="144"/>
    </row>
    <row r="55" spans="2:9" x14ac:dyDescent="0.25">
      <c r="B55" s="204"/>
      <c r="C55" s="204"/>
      <c r="D55" s="143" t="s">
        <v>220</v>
      </c>
      <c r="E55" s="144"/>
      <c r="F55" s="144"/>
      <c r="G55" s="144"/>
      <c r="H55" s="144"/>
      <c r="I55" s="144"/>
    </row>
    <row r="56" spans="2:9" x14ac:dyDescent="0.25">
      <c r="B56" s="204" t="s">
        <v>54</v>
      </c>
      <c r="C56" s="204"/>
      <c r="D56" s="143" t="s">
        <v>221</v>
      </c>
      <c r="E56" s="144"/>
      <c r="F56" s="144"/>
      <c r="G56" s="144"/>
      <c r="H56" s="144"/>
      <c r="I56" s="144"/>
    </row>
    <row r="57" spans="2:9" x14ac:dyDescent="0.25">
      <c r="B57" s="204"/>
      <c r="C57" s="204"/>
      <c r="D57" s="143" t="s">
        <v>222</v>
      </c>
      <c r="E57" s="144"/>
      <c r="F57" s="144"/>
      <c r="G57" s="144"/>
      <c r="H57" s="144"/>
      <c r="I57" s="144"/>
    </row>
    <row r="58" spans="2:9" x14ac:dyDescent="0.25">
      <c r="B58" s="204"/>
      <c r="C58" s="204"/>
      <c r="D58" s="143" t="s">
        <v>223</v>
      </c>
      <c r="E58" s="144"/>
      <c r="F58" s="144"/>
      <c r="G58" s="144"/>
      <c r="H58" s="144"/>
      <c r="I58" s="144"/>
    </row>
    <row r="59" spans="2:9" x14ac:dyDescent="0.25">
      <c r="B59" s="204"/>
      <c r="C59" s="204"/>
      <c r="D59" s="143" t="s">
        <v>224</v>
      </c>
      <c r="E59" s="144"/>
      <c r="F59" s="144"/>
      <c r="G59" s="144"/>
      <c r="H59" s="144"/>
      <c r="I59" s="144"/>
    </row>
    <row r="60" spans="2:9" x14ac:dyDescent="0.25">
      <c r="B60" s="204"/>
      <c r="C60" s="204"/>
      <c r="D60" s="143" t="s">
        <v>225</v>
      </c>
      <c r="E60" s="144"/>
      <c r="F60" s="144"/>
      <c r="G60" s="144"/>
      <c r="H60" s="144"/>
      <c r="I60" s="144"/>
    </row>
    <row r="61" spans="2:9" x14ac:dyDescent="0.25">
      <c r="B61" s="204"/>
      <c r="C61" s="204"/>
      <c r="D61" s="143" t="s">
        <v>226</v>
      </c>
      <c r="E61" s="144"/>
      <c r="F61" s="144"/>
      <c r="G61" s="144"/>
      <c r="H61" s="144"/>
      <c r="I61" s="144"/>
    </row>
    <row r="62" spans="2:9" x14ac:dyDescent="0.25">
      <c r="B62" s="204"/>
      <c r="C62" s="204"/>
      <c r="D62" s="143" t="s">
        <v>227</v>
      </c>
      <c r="E62" s="144"/>
      <c r="F62" s="144"/>
      <c r="G62" s="144"/>
      <c r="H62" s="144"/>
      <c r="I62" s="144"/>
    </row>
    <row r="63" spans="2:9" x14ac:dyDescent="0.25">
      <c r="B63" s="204"/>
      <c r="C63" s="204"/>
      <c r="D63" s="143" t="s">
        <v>228</v>
      </c>
      <c r="E63" s="144">
        <v>2</v>
      </c>
      <c r="F63" s="144">
        <v>1</v>
      </c>
      <c r="G63" s="144">
        <f>E63-F63</f>
        <v>1</v>
      </c>
      <c r="H63" s="144" t="s">
        <v>229</v>
      </c>
      <c r="I63" s="144">
        <v>803</v>
      </c>
    </row>
    <row r="64" spans="2:9" x14ac:dyDescent="0.25">
      <c r="B64" s="204"/>
      <c r="C64" s="204"/>
      <c r="D64" s="143" t="s">
        <v>230</v>
      </c>
      <c r="E64" s="148">
        <f>2+3+4+1</f>
        <v>10</v>
      </c>
      <c r="F64" s="148">
        <f>3+1+1</f>
        <v>5</v>
      </c>
      <c r="G64" s="144">
        <f>E64-F64</f>
        <v>5</v>
      </c>
      <c r="H64" s="148" t="s">
        <v>231</v>
      </c>
      <c r="I64" s="144" t="s">
        <v>232</v>
      </c>
    </row>
    <row r="65" spans="2:9" x14ac:dyDescent="0.25">
      <c r="B65" s="204"/>
      <c r="C65" s="204"/>
      <c r="D65" s="143" t="s">
        <v>233</v>
      </c>
      <c r="E65" s="144">
        <f>3+1</f>
        <v>4</v>
      </c>
      <c r="F65" s="144">
        <f>1+2+1</f>
        <v>4</v>
      </c>
      <c r="G65" s="144">
        <f>E65-F65</f>
        <v>0</v>
      </c>
      <c r="H65" s="144" t="s">
        <v>234</v>
      </c>
      <c r="I65" s="144" t="s">
        <v>212</v>
      </c>
    </row>
    <row r="66" spans="2:9" x14ac:dyDescent="0.25">
      <c r="B66" s="204"/>
      <c r="C66" s="204"/>
      <c r="D66" s="143" t="s">
        <v>235</v>
      </c>
      <c r="E66" s="144">
        <f>8+4</f>
        <v>12</v>
      </c>
      <c r="F66" s="144">
        <f>2+1+1+1</f>
        <v>5</v>
      </c>
      <c r="G66" s="144">
        <f>E66-F66</f>
        <v>7</v>
      </c>
      <c r="H66" s="144" t="s">
        <v>236</v>
      </c>
      <c r="I66" s="144" t="s">
        <v>237</v>
      </c>
    </row>
    <row r="67" spans="2:9" x14ac:dyDescent="0.25">
      <c r="B67" s="204"/>
      <c r="C67" s="204"/>
      <c r="D67" s="143" t="s">
        <v>238</v>
      </c>
      <c r="E67" s="144"/>
      <c r="F67" s="144"/>
      <c r="G67" s="144"/>
      <c r="H67" s="144"/>
      <c r="I67" s="144"/>
    </row>
    <row r="68" spans="2:9" x14ac:dyDescent="0.25">
      <c r="B68" s="204"/>
      <c r="C68" s="204"/>
      <c r="D68" s="143" t="s">
        <v>239</v>
      </c>
      <c r="E68" s="144">
        <f>1+2+2+2</f>
        <v>7</v>
      </c>
      <c r="F68" s="144">
        <v>1</v>
      </c>
      <c r="G68" s="144">
        <f>E68-F68</f>
        <v>6</v>
      </c>
      <c r="H68" s="144" t="s">
        <v>240</v>
      </c>
      <c r="I68" s="144" t="s">
        <v>241</v>
      </c>
    </row>
    <row r="69" spans="2:9" x14ac:dyDescent="0.25">
      <c r="B69" s="204"/>
      <c r="C69" s="204"/>
      <c r="D69" s="143" t="s">
        <v>242</v>
      </c>
      <c r="E69" s="144"/>
      <c r="F69" s="144"/>
      <c r="G69" s="144"/>
      <c r="H69" s="144"/>
      <c r="I69" s="144"/>
    </row>
    <row r="70" spans="2:9" x14ac:dyDescent="0.25">
      <c r="B70" s="204"/>
      <c r="C70" s="204"/>
      <c r="D70" s="143" t="s">
        <v>243</v>
      </c>
      <c r="E70" s="144"/>
      <c r="F70" s="144"/>
      <c r="G70" s="144"/>
      <c r="H70" s="144"/>
      <c r="I70" s="144"/>
    </row>
    <row r="71" spans="2:9" x14ac:dyDescent="0.25">
      <c r="B71" s="204"/>
      <c r="C71" s="204"/>
      <c r="D71" s="143" t="s">
        <v>244</v>
      </c>
      <c r="E71" s="144"/>
      <c r="F71" s="144"/>
      <c r="G71" s="144"/>
      <c r="H71" s="144"/>
      <c r="I71" s="144"/>
    </row>
    <row r="72" spans="2:9" x14ac:dyDescent="0.25">
      <c r="B72" s="204"/>
      <c r="C72" s="204"/>
      <c r="D72" s="143" t="s">
        <v>245</v>
      </c>
      <c r="E72" s="144"/>
      <c r="F72" s="144"/>
      <c r="G72" s="144"/>
      <c r="H72" s="144"/>
      <c r="I72" s="144"/>
    </row>
    <row r="73" spans="2:9" x14ac:dyDescent="0.25">
      <c r="B73" s="204"/>
      <c r="C73" s="204"/>
      <c r="D73" s="143" t="s">
        <v>246</v>
      </c>
      <c r="E73" s="144">
        <f>3+7+1</f>
        <v>11</v>
      </c>
      <c r="F73" s="147">
        <f>1+1+1</f>
        <v>3</v>
      </c>
      <c r="G73" s="144">
        <f>E73-F73</f>
        <v>8</v>
      </c>
      <c r="H73" s="147" t="s">
        <v>247</v>
      </c>
      <c r="I73" s="144" t="s">
        <v>248</v>
      </c>
    </row>
    <row r="74" spans="2:9" x14ac:dyDescent="0.25">
      <c r="B74" s="204"/>
      <c r="C74" s="204"/>
      <c r="D74" s="143" t="s">
        <v>249</v>
      </c>
      <c r="E74" s="144">
        <f>6+2</f>
        <v>8</v>
      </c>
      <c r="F74" s="147">
        <f>1+1+2</f>
        <v>4</v>
      </c>
      <c r="G74" s="144">
        <f>E74-F74</f>
        <v>4</v>
      </c>
      <c r="H74" s="149" t="s">
        <v>250</v>
      </c>
      <c r="I74" s="144" t="s">
        <v>251</v>
      </c>
    </row>
    <row r="75" spans="2:9" x14ac:dyDescent="0.25">
      <c r="B75" s="204"/>
      <c r="C75" s="204"/>
      <c r="D75" s="143" t="s">
        <v>252</v>
      </c>
      <c r="E75" s="144">
        <f>1+1</f>
        <v>2</v>
      </c>
      <c r="F75" s="144"/>
      <c r="G75" s="144">
        <f>E75-F75</f>
        <v>2</v>
      </c>
      <c r="H75" s="144"/>
      <c r="I75" s="144" t="s">
        <v>253</v>
      </c>
    </row>
    <row r="76" spans="2:9" x14ac:dyDescent="0.25">
      <c r="B76" s="204"/>
      <c r="C76" s="204"/>
      <c r="D76" s="143" t="s">
        <v>254</v>
      </c>
      <c r="E76" s="144">
        <f>2+1+1</f>
        <v>4</v>
      </c>
      <c r="F76" s="144">
        <v>1</v>
      </c>
      <c r="G76" s="144">
        <f>E76-F76</f>
        <v>3</v>
      </c>
      <c r="H76" s="144" t="s">
        <v>255</v>
      </c>
      <c r="I76" s="144" t="s">
        <v>256</v>
      </c>
    </row>
    <row r="77" spans="2:9" x14ac:dyDescent="0.25">
      <c r="B77" s="204"/>
      <c r="C77" s="204"/>
      <c r="D77" s="143" t="s">
        <v>257</v>
      </c>
      <c r="E77" s="144"/>
      <c r="F77" s="144"/>
      <c r="G77" s="144"/>
      <c r="H77" s="144"/>
      <c r="I77" s="144"/>
    </row>
    <row r="78" spans="2:9" x14ac:dyDescent="0.25">
      <c r="B78" s="204"/>
      <c r="C78" s="204"/>
      <c r="D78" s="143" t="s">
        <v>258</v>
      </c>
      <c r="E78" s="144">
        <v>1</v>
      </c>
      <c r="F78" s="144">
        <v>1</v>
      </c>
      <c r="G78" s="144"/>
      <c r="H78" s="144"/>
      <c r="I78" s="144">
        <v>835</v>
      </c>
    </row>
    <row r="79" spans="2:9" x14ac:dyDescent="0.25">
      <c r="B79" s="204"/>
      <c r="C79" s="204"/>
      <c r="D79" s="143" t="s">
        <v>259</v>
      </c>
      <c r="E79" s="144"/>
      <c r="F79" s="144"/>
      <c r="G79" s="144"/>
      <c r="H79" s="144"/>
      <c r="I79" s="144"/>
    </row>
    <row r="80" spans="2:9" x14ac:dyDescent="0.25">
      <c r="B80" s="204"/>
      <c r="C80" s="204"/>
      <c r="D80" s="143" t="s">
        <v>260</v>
      </c>
      <c r="E80" s="144"/>
      <c r="F80" s="144"/>
      <c r="G80" s="144"/>
      <c r="H80" s="144"/>
      <c r="I80" s="144"/>
    </row>
    <row r="81" spans="2:9" x14ac:dyDescent="0.25">
      <c r="B81" s="204"/>
      <c r="C81" s="204"/>
      <c r="D81" s="143" t="s">
        <v>261</v>
      </c>
      <c r="E81" s="144"/>
      <c r="F81" s="144"/>
      <c r="G81" s="144"/>
      <c r="H81" s="144"/>
      <c r="I81" s="144"/>
    </row>
    <row r="82" spans="2:9" x14ac:dyDescent="0.25">
      <c r="B82" s="204"/>
      <c r="C82" s="204"/>
      <c r="D82" s="143" t="s">
        <v>262</v>
      </c>
      <c r="E82" s="144"/>
      <c r="F82" s="144"/>
      <c r="G82" s="144"/>
      <c r="H82" s="144"/>
      <c r="I82" s="144"/>
    </row>
    <row r="83" spans="2:9" x14ac:dyDescent="0.25">
      <c r="B83" s="204"/>
      <c r="C83" s="204"/>
      <c r="D83" s="143" t="s">
        <v>263</v>
      </c>
      <c r="E83" s="144"/>
      <c r="F83" s="144"/>
      <c r="G83" s="144"/>
      <c r="H83" s="144"/>
      <c r="I83" s="144"/>
    </row>
    <row r="84" spans="2:9" x14ac:dyDescent="0.25">
      <c r="B84" s="204"/>
      <c r="C84" s="204"/>
      <c r="D84" s="143" t="s">
        <v>264</v>
      </c>
      <c r="E84" s="148"/>
      <c r="F84" s="148"/>
      <c r="G84" s="148"/>
      <c r="H84" s="148"/>
      <c r="I84" s="144"/>
    </row>
    <row r="85" spans="2:9" x14ac:dyDescent="0.25">
      <c r="B85" s="204"/>
      <c r="C85" s="204"/>
      <c r="D85" s="143" t="s">
        <v>265</v>
      </c>
      <c r="E85" s="144"/>
      <c r="F85" s="144"/>
      <c r="G85" s="144"/>
      <c r="H85" s="144"/>
      <c r="I85" s="144"/>
    </row>
    <row r="86" spans="2:9" x14ac:dyDescent="0.25">
      <c r="B86" s="204"/>
      <c r="C86" s="204"/>
      <c r="D86" s="143" t="s">
        <v>266</v>
      </c>
      <c r="E86" s="144"/>
      <c r="F86" s="144"/>
      <c r="G86" s="144"/>
      <c r="H86" s="144"/>
      <c r="I86" s="144"/>
    </row>
    <row r="87" spans="2:9" x14ac:dyDescent="0.25">
      <c r="B87" s="204"/>
      <c r="C87" s="204"/>
      <c r="D87" s="143" t="s">
        <v>267</v>
      </c>
      <c r="E87" s="144"/>
      <c r="F87" s="144"/>
      <c r="G87" s="144"/>
      <c r="H87" s="144"/>
      <c r="I87" s="144"/>
    </row>
    <row r="88" spans="2:9" x14ac:dyDescent="0.25">
      <c r="B88" s="204"/>
      <c r="C88" s="204"/>
      <c r="D88" s="143" t="s">
        <v>268</v>
      </c>
      <c r="E88" s="144"/>
      <c r="F88" s="144"/>
      <c r="G88" s="144"/>
      <c r="H88" s="144"/>
      <c r="I88" s="144"/>
    </row>
    <row r="89" spans="2:9" x14ac:dyDescent="0.25">
      <c r="B89" s="204"/>
      <c r="C89" s="204"/>
      <c r="D89" s="143" t="s">
        <v>269</v>
      </c>
      <c r="E89" s="144"/>
      <c r="F89" s="144"/>
      <c r="G89" s="144"/>
      <c r="H89" s="144"/>
      <c r="I89" s="144"/>
    </row>
    <row r="90" spans="2:9" x14ac:dyDescent="0.25">
      <c r="B90" s="204"/>
      <c r="C90" s="204"/>
      <c r="D90" s="143" t="s">
        <v>270</v>
      </c>
      <c r="E90" s="144"/>
      <c r="F90" s="144"/>
      <c r="G90" s="144"/>
      <c r="H90" s="144"/>
      <c r="I90" s="144"/>
    </row>
    <row r="91" spans="2:9" x14ac:dyDescent="0.25">
      <c r="B91" s="204"/>
      <c r="C91" s="204"/>
      <c r="D91" s="143" t="s">
        <v>271</v>
      </c>
      <c r="E91" s="144"/>
      <c r="F91" s="144"/>
      <c r="G91" s="144"/>
      <c r="H91" s="144"/>
      <c r="I91" s="144"/>
    </row>
    <row r="92" spans="2:9" x14ac:dyDescent="0.25">
      <c r="B92" s="204"/>
      <c r="C92" s="204"/>
      <c r="D92" s="143" t="s">
        <v>272</v>
      </c>
      <c r="E92" s="144"/>
      <c r="F92" s="144"/>
      <c r="G92" s="144"/>
      <c r="H92" s="144"/>
      <c r="I92" s="144"/>
    </row>
    <row r="93" spans="2:9" x14ac:dyDescent="0.25">
      <c r="B93" s="204"/>
      <c r="C93" s="204"/>
      <c r="D93" s="143" t="s">
        <v>273</v>
      </c>
      <c r="E93" s="144"/>
      <c r="F93" s="144"/>
      <c r="G93" s="144"/>
      <c r="H93" s="144"/>
      <c r="I93" s="144"/>
    </row>
    <row r="94" spans="2:9" x14ac:dyDescent="0.25">
      <c r="B94" s="204"/>
      <c r="C94" s="204"/>
      <c r="D94" s="143" t="s">
        <v>274</v>
      </c>
      <c r="E94" s="144"/>
      <c r="F94" s="144"/>
      <c r="G94" s="144"/>
      <c r="H94" s="144"/>
      <c r="I94" s="144"/>
    </row>
    <row r="95" spans="2:9" x14ac:dyDescent="0.25">
      <c r="B95" s="204"/>
      <c r="C95" s="204"/>
      <c r="D95" s="143" t="s">
        <v>275</v>
      </c>
      <c r="E95" s="144"/>
      <c r="F95" s="144"/>
      <c r="G95" s="144"/>
      <c r="H95" s="144"/>
      <c r="I95" s="144"/>
    </row>
    <row r="96" spans="2:9" x14ac:dyDescent="0.25">
      <c r="B96" s="204"/>
      <c r="C96" s="204"/>
      <c r="D96" s="143" t="s">
        <v>276</v>
      </c>
      <c r="E96" s="144"/>
      <c r="F96" s="144"/>
      <c r="G96" s="144"/>
      <c r="H96" s="144"/>
      <c r="I96" s="144"/>
    </row>
    <row r="97" spans="2:9" x14ac:dyDescent="0.25">
      <c r="B97" s="204" t="s">
        <v>277</v>
      </c>
      <c r="C97" s="204"/>
      <c r="D97" s="143" t="s">
        <v>205</v>
      </c>
      <c r="E97" s="144"/>
      <c r="F97" s="144"/>
      <c r="G97" s="144"/>
      <c r="H97" s="144"/>
      <c r="I97" s="144"/>
    </row>
    <row r="98" spans="2:9" x14ac:dyDescent="0.25">
      <c r="B98" s="204"/>
      <c r="C98" s="204"/>
      <c r="D98" s="143" t="s">
        <v>208</v>
      </c>
      <c r="E98" s="144"/>
      <c r="F98" s="144"/>
      <c r="G98" s="144"/>
      <c r="H98" s="144"/>
      <c r="I98" s="144"/>
    </row>
    <row r="99" spans="2:9" x14ac:dyDescent="0.25">
      <c r="B99" s="204"/>
      <c r="C99" s="204"/>
      <c r="D99" s="143" t="s">
        <v>210</v>
      </c>
      <c r="E99" s="144"/>
      <c r="F99" s="144"/>
      <c r="G99" s="144"/>
      <c r="H99" s="144"/>
      <c r="I99" s="144"/>
    </row>
    <row r="100" spans="2:9" x14ac:dyDescent="0.25">
      <c r="B100" s="204"/>
      <c r="C100" s="204"/>
      <c r="D100" s="143" t="s">
        <v>213</v>
      </c>
      <c r="E100" s="144"/>
      <c r="F100" s="144"/>
      <c r="G100" s="144"/>
      <c r="H100" s="144"/>
      <c r="I100" s="144"/>
    </row>
    <row r="101" spans="2:9" x14ac:dyDescent="0.25">
      <c r="B101" s="204"/>
      <c r="C101" s="204"/>
      <c r="D101" s="143" t="s">
        <v>216</v>
      </c>
      <c r="E101" s="144"/>
      <c r="F101" s="144"/>
      <c r="G101" s="144"/>
      <c r="H101" s="144"/>
      <c r="I101" s="144"/>
    </row>
    <row r="102" spans="2:9" x14ac:dyDescent="0.25">
      <c r="B102" s="204"/>
      <c r="C102" s="204"/>
      <c r="D102" s="143" t="s">
        <v>217</v>
      </c>
      <c r="E102" s="144"/>
      <c r="F102" s="144"/>
      <c r="G102" s="144"/>
      <c r="H102" s="144"/>
      <c r="I102" s="144"/>
    </row>
    <row r="103" spans="2:9" x14ac:dyDescent="0.25">
      <c r="B103" s="204"/>
      <c r="C103" s="204"/>
      <c r="D103" s="143" t="s">
        <v>218</v>
      </c>
      <c r="E103" s="144"/>
      <c r="F103" s="144"/>
      <c r="G103" s="144"/>
      <c r="H103" s="144"/>
      <c r="I103" s="144"/>
    </row>
    <row r="104" spans="2:9" x14ac:dyDescent="0.25">
      <c r="B104" s="204"/>
      <c r="C104" s="204"/>
      <c r="D104" s="143" t="s">
        <v>219</v>
      </c>
      <c r="E104" s="144"/>
      <c r="F104" s="144"/>
      <c r="G104" s="144"/>
      <c r="H104" s="144"/>
      <c r="I104" s="144"/>
    </row>
    <row r="105" spans="2:9" x14ac:dyDescent="0.25">
      <c r="B105" s="204"/>
      <c r="C105" s="204"/>
      <c r="D105" s="143" t="s">
        <v>220</v>
      </c>
      <c r="E105" s="144"/>
      <c r="F105" s="144"/>
      <c r="G105" s="144"/>
      <c r="H105" s="144"/>
      <c r="I105" s="144"/>
    </row>
    <row r="106" spans="2:9" x14ac:dyDescent="0.25">
      <c r="B106" s="204" t="s">
        <v>278</v>
      </c>
      <c r="C106" s="204"/>
      <c r="D106" s="143" t="s">
        <v>279</v>
      </c>
      <c r="E106" s="144">
        <f>2+7+1+6</f>
        <v>16</v>
      </c>
      <c r="F106" s="144">
        <f>1+1+2</f>
        <v>4</v>
      </c>
      <c r="G106" s="144">
        <f t="shared" ref="G106:G111" si="1">E106-F106</f>
        <v>12</v>
      </c>
      <c r="H106" s="144" t="s">
        <v>280</v>
      </c>
      <c r="I106" s="144" t="s">
        <v>281</v>
      </c>
    </row>
    <row r="107" spans="2:9" x14ac:dyDescent="0.25">
      <c r="B107" s="204"/>
      <c r="C107" s="204"/>
      <c r="D107" s="143" t="s">
        <v>282</v>
      </c>
      <c r="E107" s="144">
        <f>1+1+3+3+7+1</f>
        <v>16</v>
      </c>
      <c r="F107" s="144">
        <f>1+1+1+1</f>
        <v>4</v>
      </c>
      <c r="G107" s="144">
        <f t="shared" si="1"/>
        <v>12</v>
      </c>
      <c r="H107" s="144" t="s">
        <v>283</v>
      </c>
      <c r="I107" s="145" t="s">
        <v>284</v>
      </c>
    </row>
    <row r="108" spans="2:9" x14ac:dyDescent="0.25">
      <c r="B108" s="204"/>
      <c r="C108" s="204"/>
      <c r="D108" s="143" t="s">
        <v>285</v>
      </c>
      <c r="E108" s="144">
        <f>3+4</f>
        <v>7</v>
      </c>
      <c r="F108" s="144">
        <v>1</v>
      </c>
      <c r="G108" s="144">
        <f t="shared" si="1"/>
        <v>6</v>
      </c>
      <c r="H108" s="144" t="s">
        <v>286</v>
      </c>
      <c r="I108" s="144" t="s">
        <v>287</v>
      </c>
    </row>
    <row r="109" spans="2:9" x14ac:dyDescent="0.25">
      <c r="B109" s="204"/>
      <c r="C109" s="204"/>
      <c r="D109" s="143" t="s">
        <v>288</v>
      </c>
      <c r="E109" s="144">
        <v>5</v>
      </c>
      <c r="F109" s="144">
        <f>1+1+1+1+1</f>
        <v>5</v>
      </c>
      <c r="G109" s="144">
        <f t="shared" si="1"/>
        <v>0</v>
      </c>
      <c r="H109" s="144" t="s">
        <v>289</v>
      </c>
      <c r="I109" s="144">
        <v>816</v>
      </c>
    </row>
    <row r="110" spans="2:9" x14ac:dyDescent="0.25">
      <c r="B110" s="204"/>
      <c r="C110" s="204"/>
      <c r="D110" s="143" t="s">
        <v>290</v>
      </c>
      <c r="E110" s="144">
        <f>1+1</f>
        <v>2</v>
      </c>
      <c r="F110" s="144">
        <v>1</v>
      </c>
      <c r="G110" s="144">
        <f t="shared" si="1"/>
        <v>1</v>
      </c>
      <c r="H110" s="144" t="s">
        <v>291</v>
      </c>
      <c r="I110" s="144" t="s">
        <v>292</v>
      </c>
    </row>
    <row r="111" spans="2:9" x14ac:dyDescent="0.25">
      <c r="B111" s="204"/>
      <c r="C111" s="204"/>
      <c r="D111" s="143" t="s">
        <v>293</v>
      </c>
      <c r="E111" s="144">
        <f>1+1</f>
        <v>2</v>
      </c>
      <c r="F111" s="144">
        <v>1</v>
      </c>
      <c r="G111" s="144">
        <f t="shared" si="1"/>
        <v>1</v>
      </c>
      <c r="H111" s="144" t="s">
        <v>294</v>
      </c>
      <c r="I111" s="144" t="s">
        <v>295</v>
      </c>
    </row>
    <row r="112" spans="2:9" x14ac:dyDescent="0.25">
      <c r="B112" s="204"/>
      <c r="C112" s="204"/>
      <c r="D112" s="143" t="s">
        <v>296</v>
      </c>
      <c r="E112" s="144"/>
      <c r="F112" s="144"/>
      <c r="G112" s="144"/>
      <c r="H112" s="144"/>
      <c r="I112" s="144"/>
    </row>
    <row r="113" spans="2:9" x14ac:dyDescent="0.25">
      <c r="B113" s="204"/>
      <c r="C113" s="204"/>
      <c r="D113" s="143" t="s">
        <v>297</v>
      </c>
      <c r="E113" s="144"/>
      <c r="F113" s="144"/>
      <c r="G113" s="144"/>
      <c r="H113" s="144"/>
      <c r="I113" s="144"/>
    </row>
    <row r="114" spans="2:9" x14ac:dyDescent="0.25">
      <c r="B114" s="204"/>
      <c r="C114" s="204"/>
      <c r="D114" s="143" t="s">
        <v>298</v>
      </c>
      <c r="E114" s="144">
        <v>1</v>
      </c>
      <c r="F114" s="144">
        <v>1</v>
      </c>
      <c r="G114" s="144">
        <f>E114-F114</f>
        <v>0</v>
      </c>
      <c r="H114" s="144" t="s">
        <v>299</v>
      </c>
      <c r="I114" s="144">
        <v>816</v>
      </c>
    </row>
    <row r="115" spans="2:9" x14ac:dyDescent="0.25">
      <c r="B115" s="204"/>
      <c r="C115" s="204"/>
      <c r="D115" s="143" t="s">
        <v>300</v>
      </c>
      <c r="E115" s="144"/>
      <c r="F115" s="144"/>
      <c r="G115" s="144"/>
      <c r="H115" s="144"/>
      <c r="I115" s="144"/>
    </row>
    <row r="116" spans="2:9" x14ac:dyDescent="0.25">
      <c r="B116" s="204"/>
      <c r="C116" s="204"/>
      <c r="D116" s="143" t="s">
        <v>246</v>
      </c>
      <c r="E116" s="144">
        <v>2</v>
      </c>
      <c r="F116" s="144">
        <v>2</v>
      </c>
      <c r="G116" s="144"/>
      <c r="H116" s="144"/>
      <c r="I116" s="144">
        <v>860</v>
      </c>
    </row>
    <row r="117" spans="2:9" x14ac:dyDescent="0.25">
      <c r="B117" s="204"/>
      <c r="C117" s="204"/>
      <c r="D117" s="143" t="s">
        <v>249</v>
      </c>
      <c r="E117" s="144">
        <v>2</v>
      </c>
      <c r="F117" s="144"/>
      <c r="G117" s="144">
        <f>E117-F117</f>
        <v>2</v>
      </c>
      <c r="H117" s="147"/>
      <c r="I117" s="144"/>
    </row>
    <row r="118" spans="2:9" x14ac:dyDescent="0.25">
      <c r="B118" s="204"/>
      <c r="C118" s="204"/>
      <c r="D118" s="143" t="s">
        <v>252</v>
      </c>
      <c r="E118" s="144">
        <v>1</v>
      </c>
      <c r="F118" s="144"/>
      <c r="G118" s="144">
        <f>E118-F118</f>
        <v>1</v>
      </c>
      <c r="H118" s="144"/>
      <c r="I118" s="144">
        <v>814</v>
      </c>
    </row>
    <row r="119" spans="2:9" x14ac:dyDescent="0.25">
      <c r="B119" s="204"/>
      <c r="C119" s="204"/>
      <c r="D119" s="143" t="s">
        <v>254</v>
      </c>
      <c r="E119" s="144"/>
      <c r="F119" s="144"/>
      <c r="G119" s="144"/>
      <c r="H119" s="144"/>
      <c r="I119" s="144"/>
    </row>
    <row r="120" spans="2:9" x14ac:dyDescent="0.25">
      <c r="B120" s="204"/>
      <c r="C120" s="204"/>
      <c r="D120" s="143" t="s">
        <v>301</v>
      </c>
      <c r="E120" s="144">
        <v>1</v>
      </c>
      <c r="F120" s="144">
        <v>1</v>
      </c>
      <c r="G120" s="144">
        <f>E120-F120</f>
        <v>0</v>
      </c>
      <c r="H120" s="144" t="s">
        <v>302</v>
      </c>
      <c r="I120" s="144">
        <v>816</v>
      </c>
    </row>
    <row r="121" spans="2:9" x14ac:dyDescent="0.25">
      <c r="B121" s="204"/>
      <c r="C121" s="204"/>
      <c r="D121" s="143" t="s">
        <v>258</v>
      </c>
      <c r="E121" s="144"/>
      <c r="F121" s="144"/>
      <c r="G121" s="144"/>
      <c r="H121" s="144"/>
      <c r="I121" s="144"/>
    </row>
    <row r="122" spans="2:9" x14ac:dyDescent="0.25">
      <c r="B122" s="204"/>
      <c r="C122" s="204"/>
      <c r="D122" s="143" t="s">
        <v>259</v>
      </c>
      <c r="E122" s="144"/>
      <c r="F122" s="144"/>
      <c r="G122" s="144"/>
      <c r="H122" s="144"/>
      <c r="I122" s="144"/>
    </row>
    <row r="123" spans="2:9" x14ac:dyDescent="0.25">
      <c r="B123" s="204"/>
      <c r="C123" s="204"/>
      <c r="D123" s="143" t="s">
        <v>260</v>
      </c>
      <c r="E123" s="144">
        <v>1</v>
      </c>
      <c r="F123" s="144"/>
      <c r="G123" s="144">
        <f>E123-F123</f>
        <v>1</v>
      </c>
      <c r="H123" s="144"/>
      <c r="I123" s="144">
        <v>822</v>
      </c>
    </row>
    <row r="124" spans="2:9" x14ac:dyDescent="0.25">
      <c r="B124" s="204"/>
      <c r="C124" s="204"/>
      <c r="D124" s="143" t="s">
        <v>303</v>
      </c>
      <c r="E124" s="144"/>
      <c r="F124" s="144"/>
      <c r="G124" s="144"/>
      <c r="H124" s="144"/>
      <c r="I124" s="144"/>
    </row>
    <row r="125" spans="2:9" x14ac:dyDescent="0.25">
      <c r="B125" s="204"/>
      <c r="C125" s="204"/>
      <c r="D125" s="143" t="s">
        <v>304</v>
      </c>
      <c r="E125" s="144"/>
      <c r="F125" s="144"/>
      <c r="G125" s="144"/>
      <c r="H125" s="144"/>
      <c r="I125" s="144"/>
    </row>
    <row r="126" spans="2:9" x14ac:dyDescent="0.25">
      <c r="B126" s="204"/>
      <c r="C126" s="204"/>
      <c r="D126" s="143" t="s">
        <v>305</v>
      </c>
      <c r="E126" s="144">
        <v>1</v>
      </c>
      <c r="F126" s="144"/>
      <c r="G126" s="144">
        <f>E126-F126</f>
        <v>1</v>
      </c>
      <c r="H126" s="144"/>
      <c r="I126" s="144">
        <v>822</v>
      </c>
    </row>
    <row r="127" spans="2:9" x14ac:dyDescent="0.25">
      <c r="B127" s="204"/>
      <c r="C127" s="204"/>
      <c r="D127" s="143" t="s">
        <v>306</v>
      </c>
      <c r="E127" s="144"/>
      <c r="F127" s="144"/>
      <c r="G127" s="144"/>
      <c r="H127" s="144"/>
      <c r="I127" s="144"/>
    </row>
    <row r="128" spans="2:9" x14ac:dyDescent="0.25">
      <c r="B128" s="204"/>
      <c r="C128" s="204"/>
      <c r="D128" s="143" t="s">
        <v>307</v>
      </c>
      <c r="E128" s="144"/>
      <c r="F128" s="144"/>
      <c r="G128" s="144"/>
      <c r="H128" s="144"/>
      <c r="I128" s="144"/>
    </row>
    <row r="129" spans="2:9" x14ac:dyDescent="0.25">
      <c r="B129" s="204"/>
      <c r="C129" s="204"/>
      <c r="D129" s="143" t="s">
        <v>308</v>
      </c>
      <c r="E129" s="144"/>
      <c r="F129" s="144"/>
      <c r="G129" s="144"/>
      <c r="H129" s="144"/>
      <c r="I129" s="144"/>
    </row>
    <row r="130" spans="2:9" x14ac:dyDescent="0.25">
      <c r="B130" s="204"/>
      <c r="C130" s="204"/>
      <c r="D130" s="143" t="s">
        <v>309</v>
      </c>
      <c r="E130" s="144"/>
      <c r="F130" s="144"/>
      <c r="G130" s="144"/>
      <c r="H130" s="144"/>
      <c r="I130" s="144"/>
    </row>
    <row r="131" spans="2:9" x14ac:dyDescent="0.25">
      <c r="B131" s="204"/>
      <c r="C131" s="204"/>
      <c r="D131" s="143" t="s">
        <v>310</v>
      </c>
      <c r="E131" s="144"/>
      <c r="F131" s="144"/>
      <c r="G131" s="144"/>
      <c r="H131" s="144"/>
      <c r="I131" s="144"/>
    </row>
    <row r="132" spans="2:9" x14ac:dyDescent="0.25">
      <c r="B132" s="204"/>
      <c r="C132" s="204"/>
      <c r="D132" s="143" t="s">
        <v>311</v>
      </c>
      <c r="E132" s="144"/>
      <c r="F132" s="144"/>
      <c r="G132" s="144"/>
      <c r="H132" s="144"/>
      <c r="I132" s="144"/>
    </row>
    <row r="133" spans="2:9" x14ac:dyDescent="0.25">
      <c r="B133" s="204"/>
      <c r="C133" s="204"/>
      <c r="D133" s="143" t="s">
        <v>312</v>
      </c>
      <c r="E133" s="144"/>
      <c r="F133" s="144"/>
      <c r="G133" s="144"/>
      <c r="H133" s="144"/>
      <c r="I133" s="144"/>
    </row>
    <row r="134" spans="2:9" x14ac:dyDescent="0.25">
      <c r="B134" s="204"/>
      <c r="C134" s="204"/>
      <c r="D134" s="143" t="s">
        <v>313</v>
      </c>
      <c r="E134" s="144"/>
      <c r="F134" s="144"/>
      <c r="G134" s="144"/>
      <c r="H134" s="144"/>
      <c r="I134" s="144"/>
    </row>
    <row r="135" spans="2:9" x14ac:dyDescent="0.25">
      <c r="B135" s="204"/>
      <c r="C135" s="204"/>
      <c r="D135" s="143" t="s">
        <v>314</v>
      </c>
      <c r="E135" s="144"/>
      <c r="F135" s="144"/>
      <c r="G135" s="144"/>
      <c r="H135" s="144"/>
      <c r="I135" s="144"/>
    </row>
    <row r="136" spans="2:9" x14ac:dyDescent="0.25">
      <c r="B136" s="204"/>
      <c r="C136" s="204"/>
      <c r="D136" s="143" t="s">
        <v>315</v>
      </c>
      <c r="E136" s="144"/>
      <c r="F136" s="144"/>
      <c r="G136" s="144"/>
      <c r="H136" s="144"/>
      <c r="I136" s="144"/>
    </row>
    <row r="137" spans="2:9" x14ac:dyDescent="0.25">
      <c r="B137" s="204"/>
      <c r="C137" s="204"/>
      <c r="D137" s="143" t="s">
        <v>316</v>
      </c>
      <c r="E137" s="144"/>
      <c r="F137" s="144"/>
      <c r="G137" s="144"/>
      <c r="H137" s="144"/>
      <c r="I137" s="144"/>
    </row>
    <row r="138" spans="2:9" x14ac:dyDescent="0.25">
      <c r="B138" s="204"/>
      <c r="C138" s="204"/>
      <c r="D138" s="143" t="s">
        <v>317</v>
      </c>
      <c r="E138" s="144"/>
      <c r="F138" s="144"/>
      <c r="G138" s="144"/>
      <c r="H138" s="144"/>
      <c r="I138" s="144"/>
    </row>
    <row r="139" spans="2:9" x14ac:dyDescent="0.25">
      <c r="B139" s="204"/>
      <c r="C139" s="204"/>
      <c r="D139" s="143" t="s">
        <v>318</v>
      </c>
      <c r="E139" s="144"/>
      <c r="F139" s="144"/>
      <c r="G139" s="144"/>
      <c r="H139" s="144"/>
      <c r="I139" s="144"/>
    </row>
    <row r="140" spans="2:9" x14ac:dyDescent="0.25">
      <c r="B140" s="204" t="s">
        <v>319</v>
      </c>
      <c r="C140" s="204"/>
      <c r="D140" s="143" t="s">
        <v>205</v>
      </c>
      <c r="E140" s="144">
        <f>30+10+10</f>
        <v>50</v>
      </c>
      <c r="F140" s="144">
        <f>1+1</f>
        <v>2</v>
      </c>
      <c r="G140" s="144">
        <f>E140-F140</f>
        <v>48</v>
      </c>
      <c r="H140" s="144" t="s">
        <v>320</v>
      </c>
      <c r="I140" s="145" t="s">
        <v>321</v>
      </c>
    </row>
    <row r="141" spans="2:9" x14ac:dyDescent="0.25">
      <c r="B141" s="204"/>
      <c r="C141" s="204"/>
      <c r="D141" s="143" t="s">
        <v>208</v>
      </c>
      <c r="E141" s="144">
        <v>8</v>
      </c>
      <c r="F141" s="144"/>
      <c r="G141" s="144">
        <f>E141-F141</f>
        <v>8</v>
      </c>
      <c r="H141" s="144"/>
      <c r="I141" s="144">
        <v>835</v>
      </c>
    </row>
    <row r="142" spans="2:9" x14ac:dyDescent="0.25">
      <c r="B142" s="204"/>
      <c r="C142" s="204"/>
      <c r="D142" s="143" t="s">
        <v>210</v>
      </c>
      <c r="E142" s="144"/>
      <c r="F142" s="144"/>
      <c r="G142" s="144"/>
      <c r="H142" s="144"/>
      <c r="I142" s="144"/>
    </row>
    <row r="143" spans="2:9" x14ac:dyDescent="0.25">
      <c r="B143" s="204"/>
      <c r="C143" s="204"/>
      <c r="D143" s="143" t="s">
        <v>213</v>
      </c>
      <c r="E143" s="144"/>
      <c r="F143" s="144"/>
      <c r="G143" s="144"/>
      <c r="H143" s="144"/>
      <c r="I143" s="144"/>
    </row>
    <row r="144" spans="2:9" x14ac:dyDescent="0.25">
      <c r="B144" s="204"/>
      <c r="C144" s="204"/>
      <c r="D144" s="143" t="s">
        <v>216</v>
      </c>
      <c r="E144" s="144"/>
      <c r="F144" s="144"/>
      <c r="G144" s="144"/>
      <c r="H144" s="144"/>
      <c r="I144" s="144"/>
    </row>
    <row r="145" spans="2:9" x14ac:dyDescent="0.25">
      <c r="B145" s="204"/>
      <c r="C145" s="204"/>
      <c r="D145" s="143" t="s">
        <v>217</v>
      </c>
      <c r="E145" s="144"/>
      <c r="F145" s="144"/>
      <c r="G145" s="144"/>
      <c r="H145" s="144"/>
      <c r="I145" s="144" t="s">
        <v>322</v>
      </c>
    </row>
    <row r="146" spans="2:9" x14ac:dyDescent="0.25">
      <c r="B146" s="204"/>
      <c r="C146" s="204"/>
      <c r="D146" s="143" t="s">
        <v>218</v>
      </c>
      <c r="E146" s="144"/>
      <c r="F146" s="144"/>
      <c r="G146" s="144"/>
      <c r="H146" s="144"/>
      <c r="I146" s="144"/>
    </row>
    <row r="147" spans="2:9" x14ac:dyDescent="0.25">
      <c r="B147" s="204" t="s">
        <v>323</v>
      </c>
      <c r="C147" s="204" t="s">
        <v>205</v>
      </c>
      <c r="D147" s="143" t="s">
        <v>324</v>
      </c>
      <c r="E147" s="144"/>
      <c r="F147" s="144"/>
      <c r="G147" s="144"/>
      <c r="H147" s="144"/>
      <c r="I147" s="144"/>
    </row>
    <row r="148" spans="2:9" x14ac:dyDescent="0.25">
      <c r="B148" s="204"/>
      <c r="C148" s="204"/>
      <c r="D148" s="143" t="s">
        <v>325</v>
      </c>
      <c r="E148" s="144"/>
      <c r="F148" s="144"/>
      <c r="G148" s="144"/>
      <c r="H148" s="144"/>
      <c r="I148" s="144"/>
    </row>
    <row r="149" spans="2:9" x14ac:dyDescent="0.25">
      <c r="B149" s="204"/>
      <c r="C149" s="204" t="s">
        <v>208</v>
      </c>
      <c r="D149" s="143" t="s">
        <v>324</v>
      </c>
      <c r="E149" s="144"/>
      <c r="F149" s="144"/>
      <c r="G149" s="144"/>
      <c r="H149" s="144"/>
      <c r="I149" s="144"/>
    </row>
    <row r="150" spans="2:9" x14ac:dyDescent="0.25">
      <c r="B150" s="204"/>
      <c r="C150" s="204"/>
      <c r="D150" s="143" t="s">
        <v>325</v>
      </c>
      <c r="E150" s="144"/>
      <c r="F150" s="144"/>
      <c r="G150" s="144"/>
      <c r="H150" s="144"/>
      <c r="I150" s="144"/>
    </row>
    <row r="151" spans="2:9" x14ac:dyDescent="0.25">
      <c r="B151" s="204"/>
      <c r="C151" s="204" t="s">
        <v>210</v>
      </c>
      <c r="D151" s="143" t="s">
        <v>324</v>
      </c>
      <c r="E151" s="144"/>
      <c r="F151" s="144"/>
      <c r="G151" s="144"/>
      <c r="H151" s="144"/>
      <c r="I151" s="144"/>
    </row>
    <row r="152" spans="2:9" x14ac:dyDescent="0.25">
      <c r="B152" s="204"/>
      <c r="C152" s="204"/>
      <c r="D152" s="143" t="s">
        <v>325</v>
      </c>
      <c r="E152" s="144">
        <f>2+2</f>
        <v>4</v>
      </c>
      <c r="F152" s="144"/>
      <c r="G152" s="144">
        <f>E152-F152</f>
        <v>4</v>
      </c>
      <c r="H152" s="144"/>
      <c r="I152" s="144" t="s">
        <v>326</v>
      </c>
    </row>
    <row r="153" spans="2:9" x14ac:dyDescent="0.25">
      <c r="B153" s="204"/>
      <c r="C153" s="204" t="s">
        <v>213</v>
      </c>
      <c r="D153" s="143" t="s">
        <v>324</v>
      </c>
      <c r="E153" s="144"/>
      <c r="F153" s="144"/>
      <c r="G153" s="144"/>
      <c r="H153" s="144"/>
      <c r="I153" s="144"/>
    </row>
    <row r="154" spans="2:9" x14ac:dyDescent="0.25">
      <c r="B154" s="204"/>
      <c r="C154" s="204"/>
      <c r="D154" s="143" t="s">
        <v>325</v>
      </c>
      <c r="E154" s="144"/>
      <c r="F154" s="144"/>
      <c r="G154" s="144"/>
      <c r="H154" s="144"/>
      <c r="I154" s="144"/>
    </row>
    <row r="155" spans="2:9" x14ac:dyDescent="0.25">
      <c r="B155" s="204"/>
      <c r="C155" s="204" t="s">
        <v>216</v>
      </c>
      <c r="D155" s="143" t="s">
        <v>324</v>
      </c>
      <c r="E155" s="144"/>
      <c r="F155" s="144"/>
      <c r="G155" s="144"/>
      <c r="H155" s="144"/>
      <c r="I155" s="144"/>
    </row>
    <row r="156" spans="2:9" x14ac:dyDescent="0.25">
      <c r="B156" s="204"/>
      <c r="C156" s="204"/>
      <c r="D156" s="143" t="s">
        <v>325</v>
      </c>
      <c r="E156" s="144"/>
      <c r="F156" s="144"/>
      <c r="G156" s="144"/>
      <c r="H156" s="144"/>
      <c r="I156" s="144"/>
    </row>
    <row r="157" spans="2:9" x14ac:dyDescent="0.25">
      <c r="B157" s="204"/>
      <c r="C157" s="204" t="s">
        <v>217</v>
      </c>
      <c r="D157" s="143" t="s">
        <v>324</v>
      </c>
      <c r="E157" s="144"/>
      <c r="F157" s="144"/>
      <c r="G157" s="144"/>
      <c r="H157" s="144"/>
      <c r="I157" s="144"/>
    </row>
    <row r="158" spans="2:9" x14ac:dyDescent="0.25">
      <c r="B158" s="204"/>
      <c r="C158" s="204"/>
      <c r="D158" s="143" t="s">
        <v>325</v>
      </c>
      <c r="E158" s="144">
        <f>1+2</f>
        <v>3</v>
      </c>
      <c r="F158" s="144">
        <v>1</v>
      </c>
      <c r="G158" s="144">
        <f>E158-F158</f>
        <v>2</v>
      </c>
      <c r="H158" s="144"/>
      <c r="I158" s="144" t="s">
        <v>327</v>
      </c>
    </row>
    <row r="159" spans="2:9" x14ac:dyDescent="0.25">
      <c r="B159" s="204"/>
      <c r="C159" s="204" t="s">
        <v>218</v>
      </c>
      <c r="D159" s="143" t="s">
        <v>324</v>
      </c>
      <c r="E159" s="144"/>
      <c r="F159" s="144"/>
      <c r="G159" s="144"/>
      <c r="H159" s="144"/>
      <c r="I159" s="144"/>
    </row>
    <row r="160" spans="2:9" x14ac:dyDescent="0.25">
      <c r="B160" s="204"/>
      <c r="C160" s="204"/>
      <c r="D160" s="143" t="s">
        <v>325</v>
      </c>
      <c r="E160" s="144"/>
      <c r="F160" s="144"/>
      <c r="G160" s="144"/>
      <c r="H160" s="144"/>
      <c r="I160" s="144"/>
    </row>
    <row r="161" spans="2:9" x14ac:dyDescent="0.25">
      <c r="B161" s="204"/>
      <c r="C161" s="204" t="s">
        <v>219</v>
      </c>
      <c r="D161" s="143" t="s">
        <v>324</v>
      </c>
      <c r="E161" s="144"/>
      <c r="F161" s="144"/>
      <c r="G161" s="144"/>
      <c r="H161" s="144"/>
      <c r="I161" s="144"/>
    </row>
    <row r="162" spans="2:9" x14ac:dyDescent="0.25">
      <c r="B162" s="204"/>
      <c r="C162" s="204"/>
      <c r="D162" s="143" t="s">
        <v>325</v>
      </c>
      <c r="E162" s="144"/>
      <c r="F162" s="144"/>
      <c r="G162" s="144"/>
      <c r="H162" s="144"/>
      <c r="I162" s="144"/>
    </row>
    <row r="163" spans="2:9" x14ac:dyDescent="0.25">
      <c r="B163" s="204"/>
      <c r="C163" s="204" t="s">
        <v>220</v>
      </c>
      <c r="D163" s="143" t="s">
        <v>324</v>
      </c>
      <c r="E163" s="144"/>
      <c r="F163" s="144"/>
      <c r="G163" s="144"/>
      <c r="H163" s="144"/>
      <c r="I163" s="144"/>
    </row>
    <row r="164" spans="2:9" x14ac:dyDescent="0.25">
      <c r="B164" s="204"/>
      <c r="C164" s="204"/>
      <c r="D164" s="143" t="s">
        <v>325</v>
      </c>
      <c r="E164" s="144"/>
      <c r="F164" s="144"/>
      <c r="G164" s="144"/>
      <c r="H164" s="144"/>
      <c r="I164" s="144"/>
    </row>
    <row r="165" spans="2:9" x14ac:dyDescent="0.25">
      <c r="B165" s="204" t="s">
        <v>328</v>
      </c>
      <c r="C165" s="204"/>
      <c r="D165" s="143" t="s">
        <v>329</v>
      </c>
      <c r="E165" s="144"/>
      <c r="F165" s="144"/>
      <c r="G165" s="144"/>
      <c r="H165" s="144"/>
      <c r="I165" s="144"/>
    </row>
    <row r="166" spans="2:9" x14ac:dyDescent="0.25">
      <c r="B166" s="204"/>
      <c r="C166" s="204"/>
      <c r="D166" s="143" t="s">
        <v>205</v>
      </c>
      <c r="E166" s="144"/>
      <c r="F166" s="144"/>
      <c r="G166" s="144"/>
      <c r="H166" s="144"/>
      <c r="I166" s="144"/>
    </row>
    <row r="167" spans="2:9" x14ac:dyDescent="0.25">
      <c r="B167" s="204"/>
      <c r="C167" s="204"/>
      <c r="D167" s="143" t="s">
        <v>208</v>
      </c>
      <c r="E167" s="144"/>
      <c r="F167" s="144"/>
      <c r="G167" s="144"/>
      <c r="H167" s="144"/>
      <c r="I167" s="144"/>
    </row>
    <row r="168" spans="2:9" x14ac:dyDescent="0.25">
      <c r="B168" s="204"/>
      <c r="C168" s="204"/>
      <c r="D168" s="143" t="s">
        <v>210</v>
      </c>
      <c r="E168" s="144"/>
      <c r="F168" s="144"/>
      <c r="G168" s="144"/>
      <c r="H168" s="144"/>
      <c r="I168" s="144"/>
    </row>
    <row r="169" spans="2:9" x14ac:dyDescent="0.25">
      <c r="B169" s="204"/>
      <c r="C169" s="204"/>
      <c r="D169" s="143" t="s">
        <v>213</v>
      </c>
      <c r="E169" s="144"/>
      <c r="F169" s="144"/>
      <c r="G169" s="144"/>
      <c r="H169" s="144"/>
      <c r="I169" s="144"/>
    </row>
    <row r="170" spans="2:9" x14ac:dyDescent="0.25">
      <c r="B170" s="204"/>
      <c r="C170" s="204"/>
      <c r="D170" s="143" t="s">
        <v>216</v>
      </c>
      <c r="E170" s="144"/>
      <c r="F170" s="144"/>
      <c r="G170" s="144"/>
      <c r="H170" s="144"/>
      <c r="I170" s="144"/>
    </row>
    <row r="171" spans="2:9" x14ac:dyDescent="0.25">
      <c r="B171" s="204"/>
      <c r="C171" s="204"/>
      <c r="D171" s="143" t="s">
        <v>217</v>
      </c>
      <c r="E171" s="144"/>
      <c r="F171" s="144"/>
      <c r="G171" s="144"/>
      <c r="H171" s="144"/>
      <c r="I171" s="144"/>
    </row>
    <row r="172" spans="2:9" x14ac:dyDescent="0.25">
      <c r="B172" s="204"/>
      <c r="C172" s="204"/>
      <c r="D172" s="143" t="s">
        <v>218</v>
      </c>
      <c r="E172" s="144"/>
      <c r="F172" s="144"/>
      <c r="G172" s="144"/>
      <c r="H172" s="144"/>
      <c r="I172" s="144"/>
    </row>
    <row r="173" spans="2:9" x14ac:dyDescent="0.25">
      <c r="B173" s="204"/>
      <c r="C173" s="204"/>
      <c r="D173" s="143" t="s">
        <v>219</v>
      </c>
      <c r="E173" s="144"/>
      <c r="F173" s="144"/>
      <c r="G173" s="144"/>
      <c r="H173" s="144"/>
      <c r="I173" s="144"/>
    </row>
    <row r="174" spans="2:9" x14ac:dyDescent="0.25">
      <c r="B174" s="204" t="s">
        <v>330</v>
      </c>
      <c r="C174" s="204"/>
      <c r="D174" s="143" t="s">
        <v>329</v>
      </c>
      <c r="E174" s="144"/>
      <c r="F174" s="144"/>
      <c r="G174" s="144"/>
      <c r="H174" s="144"/>
      <c r="I174" s="144"/>
    </row>
    <row r="175" spans="2:9" x14ac:dyDescent="0.25">
      <c r="B175" s="204"/>
      <c r="C175" s="204"/>
      <c r="D175" s="143" t="s">
        <v>205</v>
      </c>
      <c r="E175" s="144"/>
      <c r="F175" s="144"/>
      <c r="G175" s="144"/>
      <c r="H175" s="144"/>
      <c r="I175" s="144"/>
    </row>
    <row r="176" spans="2:9" x14ac:dyDescent="0.25">
      <c r="B176" s="204"/>
      <c r="C176" s="204"/>
      <c r="D176" s="143" t="s">
        <v>208</v>
      </c>
      <c r="E176" s="144"/>
      <c r="F176" s="144"/>
      <c r="G176" s="144"/>
      <c r="H176" s="144"/>
      <c r="I176" s="144"/>
    </row>
    <row r="177" spans="2:9" x14ac:dyDescent="0.25">
      <c r="B177" s="204"/>
      <c r="C177" s="204"/>
      <c r="D177" s="143" t="s">
        <v>210</v>
      </c>
      <c r="E177" s="144"/>
      <c r="F177" s="144"/>
      <c r="G177" s="144"/>
      <c r="H177" s="144"/>
      <c r="I177" s="144"/>
    </row>
    <row r="178" spans="2:9" x14ac:dyDescent="0.25">
      <c r="B178" s="204"/>
      <c r="C178" s="204"/>
      <c r="D178" s="143" t="s">
        <v>213</v>
      </c>
      <c r="E178" s="144"/>
      <c r="F178" s="144"/>
      <c r="G178" s="144"/>
      <c r="H178" s="144"/>
      <c r="I178" s="144"/>
    </row>
    <row r="179" spans="2:9" x14ac:dyDescent="0.25">
      <c r="B179" s="204"/>
      <c r="C179" s="204"/>
      <c r="D179" s="143" t="s">
        <v>216</v>
      </c>
      <c r="E179" s="144"/>
      <c r="F179" s="144"/>
      <c r="G179" s="144"/>
      <c r="H179" s="144"/>
      <c r="I179" s="144"/>
    </row>
    <row r="180" spans="2:9" x14ac:dyDescent="0.25">
      <c r="B180" s="204"/>
      <c r="C180" s="204"/>
      <c r="D180" s="143" t="s">
        <v>217</v>
      </c>
      <c r="E180" s="144"/>
      <c r="F180" s="144"/>
      <c r="G180" s="144"/>
      <c r="H180" s="144"/>
      <c r="I180" s="144"/>
    </row>
    <row r="181" spans="2:9" x14ac:dyDescent="0.25">
      <c r="B181" s="204"/>
      <c r="C181" s="204"/>
      <c r="D181" s="143" t="s">
        <v>218</v>
      </c>
      <c r="E181" s="144"/>
      <c r="F181" s="144"/>
      <c r="G181" s="144"/>
      <c r="H181" s="144"/>
      <c r="I181" s="144"/>
    </row>
    <row r="182" spans="2:9" x14ac:dyDescent="0.25">
      <c r="B182" s="204"/>
      <c r="C182" s="204"/>
      <c r="D182" s="143" t="s">
        <v>219</v>
      </c>
      <c r="E182" s="144"/>
      <c r="F182" s="144"/>
      <c r="G182" s="144"/>
      <c r="H182" s="144"/>
      <c r="I182" s="144"/>
    </row>
    <row r="183" spans="2:9" x14ac:dyDescent="0.25">
      <c r="B183" s="207" t="s">
        <v>331</v>
      </c>
      <c r="C183" s="207"/>
      <c r="D183" s="150" t="s">
        <v>205</v>
      </c>
      <c r="E183" s="144"/>
      <c r="F183" s="144"/>
      <c r="G183" s="144"/>
      <c r="H183" s="144"/>
      <c r="I183" s="144"/>
    </row>
    <row r="184" spans="2:9" x14ac:dyDescent="0.25">
      <c r="B184" s="207"/>
      <c r="C184" s="207"/>
      <c r="D184" s="150" t="s">
        <v>208</v>
      </c>
      <c r="E184" s="144"/>
      <c r="F184" s="144"/>
      <c r="G184" s="144"/>
      <c r="H184" s="144"/>
      <c r="I184" s="144"/>
    </row>
    <row r="185" spans="2:9" x14ac:dyDescent="0.25">
      <c r="B185" s="207"/>
      <c r="C185" s="207"/>
      <c r="D185" s="150" t="s">
        <v>210</v>
      </c>
      <c r="E185" s="144"/>
      <c r="F185" s="144"/>
      <c r="G185" s="144"/>
      <c r="H185" s="144"/>
      <c r="I185" s="144"/>
    </row>
    <row r="186" spans="2:9" x14ac:dyDescent="0.25">
      <c r="B186" s="207"/>
      <c r="C186" s="207"/>
      <c r="D186" s="150" t="s">
        <v>213</v>
      </c>
      <c r="E186" s="144"/>
      <c r="F186" s="144"/>
      <c r="G186" s="144"/>
      <c r="H186" s="144"/>
      <c r="I186" s="144"/>
    </row>
    <row r="187" spans="2:9" x14ac:dyDescent="0.25">
      <c r="B187" s="207"/>
      <c r="C187" s="207"/>
      <c r="D187" s="150" t="s">
        <v>216</v>
      </c>
      <c r="E187" s="144"/>
      <c r="F187" s="144"/>
      <c r="G187" s="144"/>
      <c r="H187" s="144"/>
      <c r="I187" s="144"/>
    </row>
    <row r="188" spans="2:9" x14ac:dyDescent="0.25">
      <c r="B188" s="207"/>
      <c r="C188" s="207"/>
      <c r="D188" s="150" t="s">
        <v>217</v>
      </c>
      <c r="E188" s="144"/>
      <c r="F188" s="144"/>
      <c r="G188" s="144"/>
      <c r="H188" s="144"/>
      <c r="I188" s="144"/>
    </row>
    <row r="189" spans="2:9" x14ac:dyDescent="0.25">
      <c r="B189" s="207"/>
      <c r="C189" s="207"/>
      <c r="D189" s="150" t="s">
        <v>218</v>
      </c>
      <c r="E189" s="144"/>
      <c r="F189" s="144"/>
      <c r="G189" s="144"/>
      <c r="H189" s="144"/>
      <c r="I189" s="144"/>
    </row>
    <row r="190" spans="2:9" x14ac:dyDescent="0.25">
      <c r="B190" s="207"/>
      <c r="C190" s="207"/>
      <c r="D190" s="150" t="s">
        <v>219</v>
      </c>
      <c r="E190" s="144"/>
      <c r="F190" s="144"/>
      <c r="G190" s="144"/>
      <c r="H190" s="144"/>
      <c r="I190" s="144"/>
    </row>
    <row r="191" spans="2:9" x14ac:dyDescent="0.25">
      <c r="B191" s="207"/>
      <c r="C191" s="207"/>
      <c r="D191" s="150" t="s">
        <v>220</v>
      </c>
      <c r="E191" s="144"/>
      <c r="F191" s="144"/>
      <c r="G191" s="144"/>
      <c r="H191" s="144"/>
      <c r="I191" s="144"/>
    </row>
    <row r="192" spans="2:9" x14ac:dyDescent="0.25">
      <c r="B192" s="207" t="s">
        <v>332</v>
      </c>
      <c r="C192" s="207"/>
      <c r="D192" s="150" t="s">
        <v>205</v>
      </c>
      <c r="E192" s="144"/>
      <c r="F192" s="144"/>
      <c r="G192" s="144"/>
      <c r="H192" s="144"/>
      <c r="I192" s="144"/>
    </row>
    <row r="193" spans="2:9" x14ac:dyDescent="0.25">
      <c r="B193" s="207"/>
      <c r="C193" s="207"/>
      <c r="D193" s="150" t="s">
        <v>208</v>
      </c>
      <c r="E193" s="144"/>
      <c r="F193" s="144"/>
      <c r="G193" s="144"/>
      <c r="H193" s="144"/>
      <c r="I193" s="144"/>
    </row>
    <row r="194" spans="2:9" x14ac:dyDescent="0.25">
      <c r="B194" s="207"/>
      <c r="C194" s="207"/>
      <c r="D194" s="150" t="s">
        <v>210</v>
      </c>
      <c r="E194" s="144"/>
      <c r="F194" s="144"/>
      <c r="G194" s="144"/>
      <c r="H194" s="144"/>
      <c r="I194" s="144"/>
    </row>
    <row r="195" spans="2:9" x14ac:dyDescent="0.25">
      <c r="B195" s="207"/>
      <c r="C195" s="207"/>
      <c r="D195" s="150" t="s">
        <v>213</v>
      </c>
      <c r="E195" s="144"/>
      <c r="F195" s="144"/>
      <c r="G195" s="144"/>
      <c r="H195" s="144"/>
      <c r="I195" s="144"/>
    </row>
    <row r="196" spans="2:9" x14ac:dyDescent="0.25">
      <c r="B196" s="207"/>
      <c r="C196" s="207"/>
      <c r="D196" s="150" t="s">
        <v>216</v>
      </c>
      <c r="E196" s="144"/>
      <c r="F196" s="144"/>
      <c r="G196" s="144"/>
      <c r="H196" s="144"/>
      <c r="I196" s="144"/>
    </row>
    <row r="197" spans="2:9" x14ac:dyDescent="0.25">
      <c r="B197" s="207"/>
      <c r="C197" s="207"/>
      <c r="D197" s="150" t="s">
        <v>217</v>
      </c>
      <c r="E197" s="144"/>
      <c r="F197" s="144"/>
      <c r="G197" s="144"/>
      <c r="H197" s="144"/>
      <c r="I197" s="144"/>
    </row>
    <row r="198" spans="2:9" x14ac:dyDescent="0.25">
      <c r="B198" s="207"/>
      <c r="C198" s="207"/>
      <c r="D198" s="150" t="s">
        <v>218</v>
      </c>
      <c r="E198" s="144"/>
      <c r="F198" s="144"/>
      <c r="G198" s="144"/>
      <c r="H198" s="144"/>
      <c r="I198" s="144"/>
    </row>
    <row r="199" spans="2:9" x14ac:dyDescent="0.25">
      <c r="B199" s="207"/>
      <c r="C199" s="207"/>
      <c r="D199" s="150" t="s">
        <v>219</v>
      </c>
      <c r="E199" s="144"/>
      <c r="F199" s="144"/>
      <c r="G199" s="144"/>
      <c r="H199" s="144"/>
      <c r="I199" s="144"/>
    </row>
    <row r="200" spans="2:9" x14ac:dyDescent="0.25">
      <c r="B200" s="207"/>
      <c r="C200" s="207"/>
      <c r="D200" s="150" t="s">
        <v>220</v>
      </c>
      <c r="E200" s="144"/>
      <c r="F200" s="144"/>
      <c r="G200" s="144"/>
      <c r="H200" s="144"/>
      <c r="I200" s="144"/>
    </row>
    <row r="201" spans="2:9" x14ac:dyDescent="0.25">
      <c r="B201" s="207" t="s">
        <v>333</v>
      </c>
      <c r="C201" s="207"/>
      <c r="D201" s="150" t="s">
        <v>205</v>
      </c>
      <c r="E201" s="144"/>
      <c r="F201" s="144"/>
      <c r="G201" s="144"/>
      <c r="H201" s="144"/>
      <c r="I201" s="144"/>
    </row>
    <row r="202" spans="2:9" x14ac:dyDescent="0.25">
      <c r="B202" s="207"/>
      <c r="C202" s="207"/>
      <c r="D202" s="150" t="s">
        <v>208</v>
      </c>
      <c r="E202" s="144"/>
      <c r="F202" s="144"/>
      <c r="G202" s="144"/>
      <c r="H202" s="144"/>
      <c r="I202" s="144"/>
    </row>
    <row r="203" spans="2:9" x14ac:dyDescent="0.25">
      <c r="B203" s="207"/>
      <c r="C203" s="207"/>
      <c r="D203" s="150" t="s">
        <v>210</v>
      </c>
      <c r="E203" s="144"/>
      <c r="F203" s="144"/>
      <c r="G203" s="144"/>
      <c r="H203" s="144"/>
      <c r="I203" s="144"/>
    </row>
    <row r="204" spans="2:9" x14ac:dyDescent="0.25">
      <c r="B204" s="207"/>
      <c r="C204" s="207"/>
      <c r="D204" s="150" t="s">
        <v>213</v>
      </c>
      <c r="E204" s="144"/>
      <c r="F204" s="144"/>
      <c r="G204" s="144"/>
      <c r="H204" s="144"/>
      <c r="I204" s="144"/>
    </row>
    <row r="205" spans="2:9" x14ac:dyDescent="0.25">
      <c r="B205" s="207"/>
      <c r="C205" s="207"/>
      <c r="D205" s="150" t="s">
        <v>216</v>
      </c>
      <c r="E205" s="144"/>
      <c r="F205" s="144"/>
      <c r="G205" s="144"/>
      <c r="H205" s="144"/>
      <c r="I205" s="144"/>
    </row>
    <row r="206" spans="2:9" x14ac:dyDescent="0.25">
      <c r="B206" s="207"/>
      <c r="C206" s="207"/>
      <c r="D206" s="150" t="s">
        <v>217</v>
      </c>
      <c r="E206" s="144"/>
      <c r="F206" s="144"/>
      <c r="G206" s="144"/>
      <c r="H206" s="144"/>
      <c r="I206" s="144"/>
    </row>
    <row r="207" spans="2:9" x14ac:dyDescent="0.25">
      <c r="B207" s="207"/>
      <c r="C207" s="207"/>
      <c r="D207" s="150" t="s">
        <v>218</v>
      </c>
      <c r="E207" s="144"/>
      <c r="F207" s="144"/>
      <c r="G207" s="144"/>
      <c r="H207" s="144"/>
      <c r="I207" s="144"/>
    </row>
    <row r="208" spans="2:9" x14ac:dyDescent="0.25">
      <c r="B208" s="207"/>
      <c r="C208" s="207"/>
      <c r="D208" s="150" t="s">
        <v>219</v>
      </c>
      <c r="E208" s="144"/>
      <c r="F208" s="144"/>
      <c r="G208" s="144"/>
      <c r="H208" s="144"/>
      <c r="I208" s="144"/>
    </row>
    <row r="209" spans="2:9" ht="18.75" x14ac:dyDescent="0.25">
      <c r="B209" s="151" t="s">
        <v>334</v>
      </c>
      <c r="C209" s="151"/>
      <c r="D209" s="152"/>
      <c r="E209" s="144"/>
      <c r="F209" s="144"/>
      <c r="G209" s="144"/>
      <c r="H209" s="144"/>
      <c r="I209" s="144"/>
    </row>
    <row r="210" spans="2:9" x14ac:dyDescent="0.25">
      <c r="B210" s="204" t="s">
        <v>335</v>
      </c>
      <c r="C210" s="204" t="s">
        <v>219</v>
      </c>
      <c r="D210" s="143" t="s">
        <v>324</v>
      </c>
      <c r="E210" s="144"/>
      <c r="F210" s="144"/>
      <c r="G210" s="144"/>
      <c r="H210" s="144"/>
      <c r="I210" s="144"/>
    </row>
    <row r="211" spans="2:9" x14ac:dyDescent="0.25">
      <c r="B211" s="204"/>
      <c r="C211" s="204"/>
      <c r="D211" s="143" t="s">
        <v>325</v>
      </c>
      <c r="E211" s="144"/>
      <c r="F211" s="144"/>
      <c r="G211" s="144"/>
      <c r="H211" s="144"/>
      <c r="I211" s="144"/>
    </row>
    <row r="212" spans="2:9" x14ac:dyDescent="0.25">
      <c r="B212" s="204"/>
      <c r="C212" s="204"/>
      <c r="D212" s="143" t="s">
        <v>336</v>
      </c>
      <c r="E212" s="144"/>
      <c r="F212" s="144"/>
      <c r="G212" s="144"/>
      <c r="H212" s="144"/>
      <c r="I212" s="144"/>
    </row>
    <row r="213" spans="2:9" x14ac:dyDescent="0.25">
      <c r="B213" s="204"/>
      <c r="C213" s="204" t="s">
        <v>220</v>
      </c>
      <c r="D213" s="143" t="s">
        <v>324</v>
      </c>
      <c r="E213" s="144"/>
      <c r="F213" s="144"/>
      <c r="G213" s="144"/>
      <c r="H213" s="144"/>
      <c r="I213" s="144"/>
    </row>
    <row r="214" spans="2:9" x14ac:dyDescent="0.25">
      <c r="B214" s="204"/>
      <c r="C214" s="204"/>
      <c r="D214" s="143" t="s">
        <v>325</v>
      </c>
      <c r="E214" s="144"/>
      <c r="F214" s="144"/>
      <c r="G214" s="144"/>
      <c r="H214" s="144"/>
      <c r="I214" s="144"/>
    </row>
    <row r="215" spans="2:9" x14ac:dyDescent="0.25">
      <c r="B215" s="204"/>
      <c r="C215" s="204"/>
      <c r="D215" s="143" t="s">
        <v>336</v>
      </c>
      <c r="E215" s="144"/>
      <c r="F215" s="144"/>
      <c r="G215" s="144"/>
      <c r="H215" s="144"/>
      <c r="I215" s="144"/>
    </row>
    <row r="216" spans="2:9" x14ac:dyDescent="0.25">
      <c r="B216" s="205" t="s">
        <v>337</v>
      </c>
      <c r="C216" s="205"/>
      <c r="D216" s="154" t="s">
        <v>338</v>
      </c>
      <c r="E216" s="144"/>
      <c r="F216" s="144"/>
      <c r="G216" s="144"/>
      <c r="H216" s="144"/>
      <c r="I216" s="144"/>
    </row>
    <row r="217" spans="2:9" x14ac:dyDescent="0.25">
      <c r="B217" s="205"/>
      <c r="C217" s="205"/>
      <c r="D217" s="154" t="s">
        <v>339</v>
      </c>
      <c r="E217" s="144"/>
      <c r="F217" s="144"/>
      <c r="G217" s="144"/>
      <c r="H217" s="144"/>
      <c r="I217" s="144"/>
    </row>
    <row r="218" spans="2:9" x14ac:dyDescent="0.25">
      <c r="B218" s="205"/>
      <c r="C218" s="205"/>
      <c r="D218" s="154" t="s">
        <v>340</v>
      </c>
      <c r="E218" s="144"/>
      <c r="F218" s="144"/>
      <c r="G218" s="144"/>
      <c r="H218" s="144"/>
      <c r="I218" s="144"/>
    </row>
    <row r="219" spans="2:9" x14ac:dyDescent="0.25">
      <c r="B219" s="205"/>
      <c r="C219" s="205"/>
      <c r="D219" s="154" t="s">
        <v>341</v>
      </c>
      <c r="E219" s="144"/>
      <c r="F219" s="144"/>
      <c r="G219" s="144"/>
      <c r="H219" s="144"/>
      <c r="I219" s="144"/>
    </row>
    <row r="220" spans="2:9" x14ac:dyDescent="0.25">
      <c r="B220" s="205"/>
      <c r="C220" s="205"/>
      <c r="D220" s="154" t="s">
        <v>342</v>
      </c>
      <c r="E220" s="144"/>
      <c r="F220" s="144"/>
      <c r="G220" s="144"/>
      <c r="H220" s="144"/>
      <c r="I220" s="144"/>
    </row>
    <row r="221" spans="2:9" x14ac:dyDescent="0.25">
      <c r="B221" s="205"/>
      <c r="C221" s="205"/>
      <c r="D221" s="154" t="s">
        <v>343</v>
      </c>
      <c r="E221" s="144"/>
      <c r="F221" s="144"/>
      <c r="G221" s="144"/>
      <c r="H221" s="144"/>
      <c r="I221" s="144"/>
    </row>
    <row r="222" spans="2:9" x14ac:dyDescent="0.25">
      <c r="B222" s="206" t="s">
        <v>344</v>
      </c>
      <c r="C222" s="206"/>
      <c r="D222" s="155" t="s">
        <v>338</v>
      </c>
      <c r="E222" s="144"/>
      <c r="F222" s="144"/>
      <c r="G222" s="144"/>
      <c r="H222" s="144"/>
      <c r="I222" s="144"/>
    </row>
    <row r="223" spans="2:9" x14ac:dyDescent="0.25">
      <c r="B223" s="206"/>
      <c r="C223" s="206"/>
      <c r="D223" s="155" t="s">
        <v>339</v>
      </c>
      <c r="E223" s="144"/>
      <c r="F223" s="144"/>
      <c r="G223" s="144"/>
      <c r="H223" s="144"/>
      <c r="I223" s="144"/>
    </row>
    <row r="224" spans="2:9" x14ac:dyDescent="0.25">
      <c r="B224" s="206"/>
      <c r="C224" s="206"/>
      <c r="D224" s="155" t="s">
        <v>340</v>
      </c>
      <c r="E224" s="144"/>
      <c r="F224" s="144"/>
      <c r="G224" s="144"/>
      <c r="H224" s="144"/>
      <c r="I224" s="144"/>
    </row>
    <row r="225" spans="2:9" x14ac:dyDescent="0.25">
      <c r="B225" s="206" t="s">
        <v>345</v>
      </c>
      <c r="C225" s="206"/>
      <c r="D225" s="155" t="s">
        <v>346</v>
      </c>
      <c r="E225" s="144"/>
      <c r="F225" s="144"/>
      <c r="G225" s="144"/>
      <c r="H225" s="144"/>
      <c r="I225" s="144"/>
    </row>
    <row r="226" spans="2:9" x14ac:dyDescent="0.25">
      <c r="B226" s="206"/>
      <c r="C226" s="206"/>
      <c r="D226" s="155" t="s">
        <v>339</v>
      </c>
      <c r="E226" s="144"/>
      <c r="F226" s="144"/>
      <c r="G226" s="144"/>
      <c r="H226" s="144"/>
      <c r="I226" s="144"/>
    </row>
    <row r="227" spans="2:9" x14ac:dyDescent="0.25">
      <c r="B227" s="206"/>
      <c r="C227" s="206"/>
      <c r="D227" s="155" t="s">
        <v>340</v>
      </c>
      <c r="E227" s="144"/>
      <c r="F227" s="144"/>
      <c r="G227" s="144"/>
      <c r="H227" s="144"/>
      <c r="I227" s="144"/>
    </row>
    <row r="228" spans="2:9" x14ac:dyDescent="0.25">
      <c r="B228" s="206"/>
      <c r="C228" s="206"/>
      <c r="D228" s="155" t="s">
        <v>342</v>
      </c>
      <c r="E228" s="144"/>
      <c r="F228" s="144"/>
      <c r="G228" s="144"/>
      <c r="H228" s="144"/>
      <c r="I228" s="144"/>
    </row>
    <row r="229" spans="2:9" x14ac:dyDescent="0.25">
      <c r="B229" s="206"/>
      <c r="C229" s="206"/>
      <c r="D229" s="155" t="s">
        <v>343</v>
      </c>
      <c r="E229" s="144"/>
      <c r="F229" s="144"/>
      <c r="G229" s="144"/>
      <c r="H229" s="144"/>
      <c r="I229" s="144"/>
    </row>
    <row r="230" spans="2:9" x14ac:dyDescent="0.25">
      <c r="B230" s="206" t="s">
        <v>347</v>
      </c>
      <c r="C230" s="206"/>
      <c r="D230" s="155" t="s">
        <v>219</v>
      </c>
      <c r="E230" s="144"/>
      <c r="F230" s="144"/>
      <c r="G230" s="144"/>
      <c r="H230" s="144"/>
      <c r="I230" s="144"/>
    </row>
    <row r="231" spans="2:9" x14ac:dyDescent="0.25">
      <c r="B231" s="206" t="s">
        <v>348</v>
      </c>
      <c r="C231" s="206"/>
      <c r="D231" s="155" t="s">
        <v>349</v>
      </c>
      <c r="E231" s="144"/>
      <c r="F231" s="144"/>
      <c r="G231" s="144"/>
      <c r="H231" s="144"/>
      <c r="I231" s="144"/>
    </row>
    <row r="232" spans="2:9" x14ac:dyDescent="0.25">
      <c r="B232" s="206"/>
      <c r="C232" s="206"/>
      <c r="D232" s="155" t="s">
        <v>350</v>
      </c>
      <c r="E232" s="144"/>
      <c r="F232" s="144"/>
      <c r="G232" s="144"/>
      <c r="H232" s="144"/>
      <c r="I232" s="144"/>
    </row>
    <row r="233" spans="2:9" x14ac:dyDescent="0.25">
      <c r="B233" s="206"/>
      <c r="C233" s="206"/>
      <c r="D233" s="155" t="s">
        <v>351</v>
      </c>
      <c r="E233" s="144"/>
      <c r="F233" s="144"/>
      <c r="G233" s="144"/>
      <c r="H233" s="144"/>
      <c r="I233" s="144"/>
    </row>
    <row r="234" spans="2:9" x14ac:dyDescent="0.25">
      <c r="B234" s="206"/>
      <c r="C234" s="206"/>
      <c r="D234" s="155" t="s">
        <v>219</v>
      </c>
      <c r="E234" s="144"/>
      <c r="F234" s="144"/>
      <c r="G234" s="144"/>
      <c r="H234" s="144"/>
      <c r="I234" s="144"/>
    </row>
    <row r="235" spans="2:9" x14ac:dyDescent="0.25">
      <c r="B235" s="206"/>
      <c r="C235" s="206"/>
      <c r="D235" s="155" t="s">
        <v>220</v>
      </c>
      <c r="E235" s="144"/>
      <c r="F235" s="144"/>
      <c r="G235" s="144"/>
      <c r="H235" s="144"/>
      <c r="I235" s="114"/>
    </row>
    <row r="236" spans="2:9" x14ac:dyDescent="0.25">
      <c r="B236" s="206" t="s">
        <v>352</v>
      </c>
      <c r="C236" s="206"/>
      <c r="D236" s="155" t="s">
        <v>353</v>
      </c>
      <c r="E236" s="144"/>
      <c r="F236" s="144"/>
      <c r="G236" s="144"/>
      <c r="H236" s="144"/>
      <c r="I236" s="114"/>
    </row>
    <row r="237" spans="2:9" x14ac:dyDescent="0.25">
      <c r="B237" s="206"/>
      <c r="C237" s="206"/>
      <c r="D237" s="155" t="s">
        <v>220</v>
      </c>
      <c r="E237" s="144"/>
      <c r="F237" s="144"/>
      <c r="G237" s="144"/>
      <c r="H237" s="144"/>
      <c r="I237" s="114"/>
    </row>
    <row r="238" spans="2:9" x14ac:dyDescent="0.25">
      <c r="B238" s="204" t="s">
        <v>354</v>
      </c>
      <c r="C238" s="204"/>
      <c r="D238" s="155" t="s">
        <v>353</v>
      </c>
      <c r="E238" s="144"/>
      <c r="F238" s="144"/>
      <c r="G238" s="144"/>
      <c r="H238" s="144"/>
      <c r="I238" s="114"/>
    </row>
    <row r="239" spans="2:9" x14ac:dyDescent="0.25">
      <c r="B239" s="204"/>
      <c r="C239" s="204"/>
      <c r="D239" s="155" t="s">
        <v>220</v>
      </c>
      <c r="E239" s="144"/>
      <c r="F239" s="144"/>
      <c r="G239" s="144"/>
      <c r="H239" s="144"/>
      <c r="I239" s="114"/>
    </row>
    <row r="240" spans="2:9" ht="30" x14ac:dyDescent="0.25">
      <c r="B240" s="204" t="s">
        <v>355</v>
      </c>
      <c r="C240" s="204"/>
      <c r="D240" s="156" t="s">
        <v>356</v>
      </c>
      <c r="E240" s="144"/>
      <c r="F240" s="144"/>
      <c r="G240" s="144"/>
      <c r="H240" s="144"/>
      <c r="I240" s="114"/>
    </row>
    <row r="241" spans="2:9" x14ac:dyDescent="0.25">
      <c r="B241" s="204" t="s">
        <v>357</v>
      </c>
      <c r="C241" s="204"/>
      <c r="D241" s="154" t="s">
        <v>358</v>
      </c>
      <c r="E241" s="144"/>
      <c r="F241" s="144"/>
      <c r="G241" s="144"/>
      <c r="H241" s="144"/>
      <c r="I241" s="114"/>
    </row>
  </sheetData>
  <mergeCells count="49">
    <mergeCell ref="H11:H15"/>
    <mergeCell ref="B2:C2"/>
    <mergeCell ref="B3:C3"/>
    <mergeCell ref="B4:C4"/>
    <mergeCell ref="B5:H5"/>
    <mergeCell ref="B9:H9"/>
    <mergeCell ref="B47:C55"/>
    <mergeCell ref="B16:H16"/>
    <mergeCell ref="H18:H21"/>
    <mergeCell ref="B22:H22"/>
    <mergeCell ref="H24:H25"/>
    <mergeCell ref="B27:H27"/>
    <mergeCell ref="B31:H31"/>
    <mergeCell ref="H33:H36"/>
    <mergeCell ref="B37:H37"/>
    <mergeCell ref="H39:H41"/>
    <mergeCell ref="B45:D45"/>
    <mergeCell ref="B46:C46"/>
    <mergeCell ref="B174:C182"/>
    <mergeCell ref="B56:C96"/>
    <mergeCell ref="B97:C105"/>
    <mergeCell ref="B106:C139"/>
    <mergeCell ref="B140:C146"/>
    <mergeCell ref="B147:B164"/>
    <mergeCell ref="C147:C148"/>
    <mergeCell ref="C149:C150"/>
    <mergeCell ref="C151:C152"/>
    <mergeCell ref="C153:C154"/>
    <mergeCell ref="C155:C156"/>
    <mergeCell ref="C157:C158"/>
    <mergeCell ref="C159:C160"/>
    <mergeCell ref="C161:C162"/>
    <mergeCell ref="C163:C164"/>
    <mergeCell ref="B165:C173"/>
    <mergeCell ref="B183:C191"/>
    <mergeCell ref="B192:C200"/>
    <mergeCell ref="B201:C208"/>
    <mergeCell ref="B210:B215"/>
    <mergeCell ref="C210:C212"/>
    <mergeCell ref="C213:C215"/>
    <mergeCell ref="B238:C239"/>
    <mergeCell ref="B240:C240"/>
    <mergeCell ref="B241:C241"/>
    <mergeCell ref="B216:C221"/>
    <mergeCell ref="B222:C224"/>
    <mergeCell ref="B225:C229"/>
    <mergeCell ref="B230:C230"/>
    <mergeCell ref="B231:C235"/>
    <mergeCell ref="B236:C237"/>
  </mergeCells>
  <printOptions horizontalCentered="1"/>
  <pageMargins left="0.19685039370078741" right="0.19685039370078741" top="0.39370078740157483" bottom="0.39370078740157483" header="0" footer="0"/>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zoomScaleNormal="100" workbookViewId="0">
      <selection activeCell="U10" sqref="U10"/>
    </sheetView>
  </sheetViews>
  <sheetFormatPr defaultRowHeight="15" x14ac:dyDescent="0.25"/>
  <cols>
    <col min="1" max="1" width="8.7109375" customWidth="1"/>
    <col min="2" max="2" width="53.42578125" customWidth="1"/>
    <col min="3" max="3" width="6.5703125" customWidth="1"/>
    <col min="4" max="4" width="15.42578125" style="90" customWidth="1"/>
    <col min="5" max="5" width="18.42578125" style="90" customWidth="1"/>
    <col min="6" max="7" width="16.28515625" style="90" customWidth="1"/>
    <col min="8" max="8" width="15.7109375" style="90" customWidth="1"/>
    <col min="9" max="9" width="15" style="91" hidden="1" customWidth="1"/>
    <col min="10" max="10" width="10.42578125" customWidth="1"/>
    <col min="11" max="11" width="12.5703125" style="92" hidden="1" customWidth="1"/>
    <col min="12" max="12" width="9.28515625" style="93" hidden="1" customWidth="1"/>
    <col min="13" max="13" width="11.140625" style="93" hidden="1" customWidth="1"/>
    <col min="14" max="14" width="7.5703125" style="94" hidden="1" customWidth="1"/>
    <col min="15" max="15" width="15.28515625" style="95" hidden="1" customWidth="1"/>
    <col min="16" max="16" width="12" hidden="1" customWidth="1"/>
    <col min="17" max="17" width="14" style="96" hidden="1" customWidth="1"/>
    <col min="18" max="18" width="19.140625" customWidth="1"/>
    <col min="19" max="19" width="19" customWidth="1"/>
  </cols>
  <sheetData>
    <row r="1" spans="1:19" s="28" customFormat="1" ht="22.5" customHeight="1" x14ac:dyDescent="0.25">
      <c r="A1" s="248" t="s">
        <v>0</v>
      </c>
      <c r="B1" s="248"/>
      <c r="C1" s="248"/>
      <c r="D1" s="248"/>
      <c r="E1" s="248"/>
      <c r="F1" s="248"/>
      <c r="G1" s="248"/>
      <c r="H1" s="248"/>
      <c r="I1" s="248"/>
      <c r="J1" s="248"/>
      <c r="K1" s="22"/>
      <c r="L1" s="23"/>
      <c r="M1" s="23" t="s">
        <v>34</v>
      </c>
      <c r="N1" s="24"/>
      <c r="O1" s="25"/>
      <c r="P1" s="26"/>
      <c r="Q1" s="27"/>
      <c r="R1" s="26"/>
      <c r="S1" s="26"/>
    </row>
    <row r="2" spans="1:19" s="28" customFormat="1" ht="18.75" customHeight="1" x14ac:dyDescent="0.25">
      <c r="A2" s="249" t="s">
        <v>1</v>
      </c>
      <c r="B2" s="249"/>
      <c r="C2" s="249"/>
      <c r="D2" s="249"/>
      <c r="E2" s="249"/>
      <c r="F2" s="249"/>
      <c r="G2" s="249"/>
      <c r="H2" s="249"/>
      <c r="I2" s="249"/>
      <c r="J2" s="249"/>
      <c r="K2" s="29"/>
      <c r="L2" s="30"/>
      <c r="M2" s="30"/>
      <c r="N2" s="31"/>
      <c r="O2" s="32"/>
      <c r="P2" s="33"/>
      <c r="Q2" s="34"/>
      <c r="R2" s="33"/>
      <c r="S2" s="33"/>
    </row>
    <row r="3" spans="1:19" s="28" customFormat="1" ht="21.75" customHeight="1" x14ac:dyDescent="0.25">
      <c r="A3" s="249" t="s">
        <v>2</v>
      </c>
      <c r="B3" s="249"/>
      <c r="C3" s="249"/>
      <c r="D3" s="249"/>
      <c r="E3" s="249"/>
      <c r="F3" s="249"/>
      <c r="G3" s="249"/>
      <c r="H3" s="249"/>
      <c r="I3" s="249"/>
      <c r="J3" s="249"/>
      <c r="K3" s="35"/>
      <c r="L3" s="36"/>
      <c r="M3" s="30"/>
      <c r="N3" s="31"/>
      <c r="O3" s="32"/>
      <c r="P3" s="33"/>
      <c r="Q3" s="34"/>
      <c r="R3" s="33"/>
      <c r="S3" s="33"/>
    </row>
    <row r="4" spans="1:19" s="28" customFormat="1" ht="27.75" customHeight="1" x14ac:dyDescent="0.25">
      <c r="A4" s="1"/>
      <c r="B4" s="2" t="s">
        <v>3</v>
      </c>
      <c r="C4" s="3"/>
      <c r="D4" s="4" t="s">
        <v>4</v>
      </c>
      <c r="E4" s="5"/>
      <c r="F4" s="4" t="s">
        <v>5</v>
      </c>
      <c r="G4" s="250" t="s">
        <v>6</v>
      </c>
      <c r="H4" s="251"/>
      <c r="I4" s="251"/>
      <c r="J4" s="252"/>
      <c r="K4" s="37"/>
      <c r="L4" s="36"/>
      <c r="M4" s="30"/>
      <c r="N4" s="31"/>
      <c r="O4" s="32"/>
      <c r="P4" s="33"/>
      <c r="Q4" s="34"/>
      <c r="R4" s="159"/>
      <c r="S4" s="246" t="s">
        <v>372</v>
      </c>
    </row>
    <row r="5" spans="1:19" s="28" customFormat="1" ht="27.75" customHeight="1" x14ac:dyDescent="0.25">
      <c r="A5" s="1"/>
      <c r="B5" s="2" t="s">
        <v>7</v>
      </c>
      <c r="C5" s="6"/>
      <c r="D5" s="4" t="s">
        <v>8</v>
      </c>
      <c r="E5" s="7"/>
      <c r="F5" s="4" t="s">
        <v>9</v>
      </c>
      <c r="G5" s="250" t="s">
        <v>10</v>
      </c>
      <c r="H5" s="251"/>
      <c r="I5" s="251"/>
      <c r="J5" s="252"/>
      <c r="K5" s="37"/>
      <c r="L5" s="36"/>
      <c r="M5" s="30"/>
      <c r="N5" s="30"/>
      <c r="O5" s="32"/>
      <c r="P5" s="33"/>
      <c r="Q5" s="34"/>
      <c r="R5" s="159"/>
      <c r="S5" s="246"/>
    </row>
    <row r="6" spans="1:19" s="38" customFormat="1" ht="15" customHeight="1" x14ac:dyDescent="0.2">
      <c r="A6" s="240" t="s">
        <v>11</v>
      </c>
      <c r="B6" s="242" t="s">
        <v>12</v>
      </c>
      <c r="C6" s="243" t="s">
        <v>13</v>
      </c>
      <c r="D6" s="8"/>
      <c r="E6" s="240"/>
      <c r="F6" s="240"/>
      <c r="G6" s="240"/>
      <c r="H6" s="241" t="s">
        <v>14</v>
      </c>
      <c r="I6" s="9" t="s">
        <v>15</v>
      </c>
      <c r="J6" s="231" t="s">
        <v>16</v>
      </c>
      <c r="K6" s="233" t="s">
        <v>35</v>
      </c>
      <c r="L6" s="234"/>
      <c r="M6" s="234"/>
      <c r="N6" s="234"/>
      <c r="O6" s="234"/>
      <c r="Q6" s="157"/>
      <c r="R6" s="235" t="s">
        <v>371</v>
      </c>
      <c r="S6" s="246"/>
    </row>
    <row r="7" spans="1:19" s="38" customFormat="1" ht="42" customHeight="1" x14ac:dyDescent="0.2">
      <c r="A7" s="241"/>
      <c r="B7" s="243"/>
      <c r="C7" s="244"/>
      <c r="D7" s="21" t="s">
        <v>17</v>
      </c>
      <c r="E7" s="21" t="s">
        <v>18</v>
      </c>
      <c r="F7" s="21" t="s">
        <v>19</v>
      </c>
      <c r="G7" s="97" t="s">
        <v>20</v>
      </c>
      <c r="H7" s="245"/>
      <c r="I7" s="98"/>
      <c r="J7" s="232"/>
      <c r="K7" s="99" t="s">
        <v>36</v>
      </c>
      <c r="L7" s="99" t="s">
        <v>36</v>
      </c>
      <c r="M7" s="100" t="s">
        <v>36</v>
      </c>
      <c r="N7" s="101" t="s">
        <v>36</v>
      </c>
      <c r="O7" s="102" t="s">
        <v>37</v>
      </c>
      <c r="Q7" s="158" t="s">
        <v>38</v>
      </c>
      <c r="R7" s="235"/>
      <c r="S7" s="247"/>
    </row>
    <row r="8" spans="1:19" s="40" customFormat="1" ht="34.5" customHeight="1" x14ac:dyDescent="0.2">
      <c r="A8" s="10" t="s">
        <v>21</v>
      </c>
      <c r="B8" s="11" t="s">
        <v>22</v>
      </c>
      <c r="C8" s="11"/>
      <c r="D8" s="12"/>
      <c r="E8" s="12"/>
      <c r="F8" s="12"/>
      <c r="G8" s="13"/>
      <c r="H8" s="12"/>
      <c r="I8" s="14"/>
      <c r="J8" s="54"/>
      <c r="K8" s="39" t="s">
        <v>39</v>
      </c>
      <c r="L8" s="39" t="s">
        <v>39</v>
      </c>
      <c r="M8" s="39" t="s">
        <v>39</v>
      </c>
      <c r="N8" s="39" t="s">
        <v>39</v>
      </c>
      <c r="O8" s="103"/>
      <c r="P8" s="104"/>
      <c r="Q8" s="41"/>
      <c r="R8" s="104"/>
      <c r="S8" s="104"/>
    </row>
    <row r="9" spans="1:19" s="42" customFormat="1" ht="26.25" customHeight="1" x14ac:dyDescent="0.2">
      <c r="A9" s="15">
        <v>1</v>
      </c>
      <c r="B9" s="16" t="s">
        <v>23</v>
      </c>
      <c r="C9" s="17" t="s">
        <v>24</v>
      </c>
      <c r="D9" s="18">
        <v>3000</v>
      </c>
      <c r="E9" s="18">
        <f>+[156]aurangabad!H31</f>
        <v>1380</v>
      </c>
      <c r="F9" s="18"/>
      <c r="G9" s="19"/>
      <c r="H9" s="18">
        <f>+D9-E9</f>
        <v>1620</v>
      </c>
      <c r="I9" s="20">
        <v>4474</v>
      </c>
      <c r="J9" s="18">
        <f>175+125+600+400</f>
        <v>1300</v>
      </c>
      <c r="K9" s="18"/>
      <c r="L9" s="18"/>
      <c r="M9" s="18"/>
      <c r="N9" s="18"/>
      <c r="O9" s="105">
        <f t="shared" ref="O9:O18" si="0">SUM(K9:N9)</f>
        <v>0</v>
      </c>
      <c r="P9" s="106">
        <f>+VLOOKUP(B9,'[157]m codes'!$A:$B,2,0)</f>
        <v>1200000251</v>
      </c>
      <c r="Q9" s="43">
        <f>+O9-F9</f>
        <v>0</v>
      </c>
      <c r="R9" s="107">
        <f>+H9-J9</f>
        <v>320</v>
      </c>
      <c r="S9" s="237" t="s">
        <v>373</v>
      </c>
    </row>
    <row r="10" spans="1:19" s="42" customFormat="1" ht="26.25" customHeight="1" x14ac:dyDescent="0.2">
      <c r="A10" s="15">
        <f>+A9+1</f>
        <v>2</v>
      </c>
      <c r="B10" s="16" t="s">
        <v>25</v>
      </c>
      <c r="C10" s="17" t="s">
        <v>24</v>
      </c>
      <c r="D10" s="18">
        <v>1800</v>
      </c>
      <c r="E10" s="18">
        <f>+[156]aurangabad!I31</f>
        <v>711</v>
      </c>
      <c r="F10" s="18"/>
      <c r="G10" s="19"/>
      <c r="H10" s="18">
        <f t="shared" ref="H10:H12" si="1">+D10-E10</f>
        <v>1089</v>
      </c>
      <c r="I10" s="20"/>
      <c r="J10" s="18">
        <v>1080</v>
      </c>
      <c r="K10" s="18"/>
      <c r="L10" s="18"/>
      <c r="M10" s="18"/>
      <c r="N10" s="18"/>
      <c r="O10" s="105">
        <f t="shared" si="0"/>
        <v>0</v>
      </c>
      <c r="P10" s="106">
        <f>+VLOOKUP(B10,'[157]m codes'!$A:$B,2,0)</f>
        <v>1200000332</v>
      </c>
      <c r="Q10" s="43">
        <f>+O10-F10</f>
        <v>0</v>
      </c>
      <c r="R10" s="107">
        <f t="shared" ref="R10:R12" si="2">+H10-J10</f>
        <v>9</v>
      </c>
      <c r="S10" s="238"/>
    </row>
    <row r="11" spans="1:19" s="42" customFormat="1" ht="26.25" customHeight="1" x14ac:dyDescent="0.2">
      <c r="A11" s="15">
        <f t="shared" ref="A11:A18" si="3">+A10+1</f>
        <v>3</v>
      </c>
      <c r="B11" s="16" t="s">
        <v>26</v>
      </c>
      <c r="C11" s="17" t="s">
        <v>24</v>
      </c>
      <c r="D11" s="18">
        <f>600+1398</f>
        <v>1998</v>
      </c>
      <c r="E11" s="18">
        <f>+[156]aurangabad!J31</f>
        <v>1487</v>
      </c>
      <c r="F11" s="18"/>
      <c r="G11" s="19"/>
      <c r="H11" s="18">
        <f t="shared" si="1"/>
        <v>511</v>
      </c>
      <c r="I11" s="20"/>
      <c r="J11" s="18">
        <v>500</v>
      </c>
      <c r="K11" s="18"/>
      <c r="L11" s="18"/>
      <c r="M11" s="18"/>
      <c r="N11" s="18"/>
      <c r="O11" s="105">
        <f t="shared" si="0"/>
        <v>0</v>
      </c>
      <c r="P11" s="106">
        <f>+VLOOKUP(B11,'[157]m codes'!$A:$B,2,0)</f>
        <v>1200000333</v>
      </c>
      <c r="Q11" s="43">
        <f t="shared" ref="Q11:Q18" si="4">+O11-F11</f>
        <v>0</v>
      </c>
      <c r="R11" s="107">
        <f t="shared" si="2"/>
        <v>11</v>
      </c>
      <c r="S11" s="239"/>
    </row>
    <row r="12" spans="1:19" s="42" customFormat="1" ht="26.25" customHeight="1" x14ac:dyDescent="0.2">
      <c r="A12" s="15">
        <f t="shared" si="3"/>
        <v>4</v>
      </c>
      <c r="B12" s="16" t="s">
        <v>27</v>
      </c>
      <c r="C12" s="17" t="s">
        <v>24</v>
      </c>
      <c r="D12" s="18">
        <v>400</v>
      </c>
      <c r="E12" s="18">
        <f>+[156]aurangabad!K31</f>
        <v>400</v>
      </c>
      <c r="F12" s="18"/>
      <c r="G12" s="19"/>
      <c r="H12" s="18">
        <f t="shared" si="1"/>
        <v>0</v>
      </c>
      <c r="I12" s="20"/>
      <c r="J12" s="18"/>
      <c r="K12" s="18"/>
      <c r="L12" s="18"/>
      <c r="M12" s="18"/>
      <c r="N12" s="18"/>
      <c r="O12" s="105">
        <f t="shared" si="0"/>
        <v>0</v>
      </c>
      <c r="P12" s="106">
        <f>+VLOOKUP(B12,'[157]m codes'!$A:$B,2,0)</f>
        <v>1200000334</v>
      </c>
      <c r="Q12" s="43">
        <f t="shared" si="4"/>
        <v>0</v>
      </c>
      <c r="R12" s="107">
        <f t="shared" si="2"/>
        <v>0</v>
      </c>
      <c r="S12" s="106"/>
    </row>
    <row r="13" spans="1:19" s="42" customFormat="1" ht="26.25" customHeight="1" x14ac:dyDescent="0.2">
      <c r="A13" s="15">
        <f t="shared" si="3"/>
        <v>5</v>
      </c>
      <c r="B13" s="16" t="s">
        <v>28</v>
      </c>
      <c r="C13" s="17" t="s">
        <v>24</v>
      </c>
      <c r="D13" s="18"/>
      <c r="E13" s="18"/>
      <c r="F13" s="18"/>
      <c r="G13" s="19"/>
      <c r="H13" s="18"/>
      <c r="I13" s="20"/>
      <c r="J13" s="18"/>
      <c r="K13" s="18"/>
      <c r="L13" s="18"/>
      <c r="M13" s="18"/>
      <c r="N13" s="18"/>
      <c r="O13" s="105">
        <f t="shared" si="0"/>
        <v>0</v>
      </c>
      <c r="P13" s="106">
        <f>+VLOOKUP(B13,'[157]m codes'!$A:$B,2,0)</f>
        <v>1200000252</v>
      </c>
      <c r="Q13" s="43">
        <f t="shared" si="4"/>
        <v>0</v>
      </c>
      <c r="R13" s="107"/>
      <c r="S13" s="106"/>
    </row>
    <row r="14" spans="1:19" s="42" customFormat="1" ht="26.25" customHeight="1" x14ac:dyDescent="0.2">
      <c r="A14" s="15">
        <f t="shared" si="3"/>
        <v>6</v>
      </c>
      <c r="B14" s="16" t="s">
        <v>29</v>
      </c>
      <c r="C14" s="17" t="s">
        <v>24</v>
      </c>
      <c r="D14" s="18"/>
      <c r="E14" s="18"/>
      <c r="F14" s="18"/>
      <c r="G14" s="19"/>
      <c r="H14" s="18"/>
      <c r="I14" s="20"/>
      <c r="J14" s="18"/>
      <c r="K14" s="18"/>
      <c r="L14" s="18"/>
      <c r="M14" s="18"/>
      <c r="N14" s="18"/>
      <c r="O14" s="105">
        <f t="shared" si="0"/>
        <v>0</v>
      </c>
      <c r="P14" s="106">
        <f>+VLOOKUP(B14,'[157]m codes'!$A:$B,2,0)</f>
        <v>1200000253</v>
      </c>
      <c r="Q14" s="43">
        <f t="shared" si="4"/>
        <v>0</v>
      </c>
      <c r="R14" s="107"/>
      <c r="S14" s="106"/>
    </row>
    <row r="15" spans="1:19" s="42" customFormat="1" ht="26.25" customHeight="1" x14ac:dyDescent="0.2">
      <c r="A15" s="15">
        <f t="shared" si="3"/>
        <v>7</v>
      </c>
      <c r="B15" s="16" t="s">
        <v>30</v>
      </c>
      <c r="C15" s="17" t="s">
        <v>24</v>
      </c>
      <c r="D15" s="18"/>
      <c r="E15" s="18"/>
      <c r="F15" s="18"/>
      <c r="G15" s="19"/>
      <c r="H15" s="18"/>
      <c r="I15" s="20"/>
      <c r="J15" s="18"/>
      <c r="K15" s="18"/>
      <c r="L15" s="18"/>
      <c r="M15" s="18"/>
      <c r="N15" s="18"/>
      <c r="O15" s="105">
        <f t="shared" si="0"/>
        <v>0</v>
      </c>
      <c r="P15" s="106">
        <f>+VLOOKUP(B15,'[157]m codes'!$A:$B,2,0)</f>
        <v>1200000335</v>
      </c>
      <c r="Q15" s="43">
        <f t="shared" si="4"/>
        <v>0</v>
      </c>
      <c r="R15" s="107"/>
      <c r="S15" s="106"/>
    </row>
    <row r="16" spans="1:19" s="42" customFormat="1" ht="26.25" customHeight="1" x14ac:dyDescent="0.2">
      <c r="A16" s="15">
        <f t="shared" si="3"/>
        <v>8</v>
      </c>
      <c r="B16" s="16" t="s">
        <v>31</v>
      </c>
      <c r="C16" s="17" t="s">
        <v>24</v>
      </c>
      <c r="D16" s="18"/>
      <c r="E16" s="18"/>
      <c r="F16" s="18"/>
      <c r="G16" s="19"/>
      <c r="H16" s="18"/>
      <c r="I16" s="20"/>
      <c r="J16" s="18"/>
      <c r="K16" s="18"/>
      <c r="L16" s="18"/>
      <c r="M16" s="18"/>
      <c r="N16" s="18"/>
      <c r="O16" s="105">
        <f t="shared" si="0"/>
        <v>0</v>
      </c>
      <c r="P16" s="106">
        <f>+VLOOKUP(B16,'[157]m codes'!$A:$B,2,0)</f>
        <v>1200000255</v>
      </c>
      <c r="Q16" s="43">
        <f t="shared" si="4"/>
        <v>0</v>
      </c>
      <c r="R16" s="107"/>
      <c r="S16" s="106"/>
    </row>
    <row r="17" spans="1:21" s="42" customFormat="1" ht="26.25" customHeight="1" x14ac:dyDescent="0.2">
      <c r="A17" s="15">
        <f t="shared" si="3"/>
        <v>9</v>
      </c>
      <c r="B17" s="16" t="s">
        <v>32</v>
      </c>
      <c r="C17" s="17" t="s">
        <v>24</v>
      </c>
      <c r="D17" s="18"/>
      <c r="E17" s="18"/>
      <c r="F17" s="18"/>
      <c r="G17" s="19"/>
      <c r="H17" s="18"/>
      <c r="I17" s="20"/>
      <c r="J17" s="18"/>
      <c r="K17" s="18"/>
      <c r="L17" s="18"/>
      <c r="M17" s="18"/>
      <c r="N17" s="18"/>
      <c r="O17" s="105">
        <f t="shared" si="0"/>
        <v>0</v>
      </c>
      <c r="P17" s="106">
        <f>+VLOOKUP(B17,'[157]m codes'!$A:$B,2,0)</f>
        <v>900007097</v>
      </c>
      <c r="Q17" s="43">
        <f t="shared" si="4"/>
        <v>0</v>
      </c>
      <c r="R17" s="106"/>
      <c r="S17" s="106"/>
    </row>
    <row r="18" spans="1:21" s="42" customFormat="1" ht="26.25" customHeight="1" x14ac:dyDescent="0.2">
      <c r="A18" s="15">
        <f t="shared" si="3"/>
        <v>10</v>
      </c>
      <c r="B18" s="16" t="s">
        <v>33</v>
      </c>
      <c r="C18" s="17" t="s">
        <v>24</v>
      </c>
      <c r="D18" s="18"/>
      <c r="E18" s="18"/>
      <c r="F18" s="18"/>
      <c r="G18" s="19"/>
      <c r="H18" s="18"/>
      <c r="I18" s="20"/>
      <c r="J18" s="18"/>
      <c r="K18" s="18"/>
      <c r="L18" s="18"/>
      <c r="M18" s="18"/>
      <c r="N18" s="18"/>
      <c r="O18" s="105">
        <f t="shared" si="0"/>
        <v>0</v>
      </c>
      <c r="P18" s="106">
        <f>+VLOOKUP(B18,'[157]m codes'!$A:$B,2,0)</f>
        <v>1200000256</v>
      </c>
      <c r="Q18" s="43">
        <f t="shared" si="4"/>
        <v>0</v>
      </c>
      <c r="R18" s="106"/>
      <c r="S18" s="106"/>
    </row>
    <row r="19" spans="1:21" s="50" customFormat="1" ht="26.25" customHeight="1" x14ac:dyDescent="0.25">
      <c r="A19" s="44"/>
      <c r="B19" s="45" t="s">
        <v>40</v>
      </c>
      <c r="C19" s="45"/>
      <c r="D19" s="46"/>
      <c r="E19" s="46"/>
      <c r="F19" s="46"/>
      <c r="G19" s="47"/>
      <c r="H19" s="46"/>
      <c r="I19" s="48"/>
      <c r="J19" s="49"/>
      <c r="K19" s="49"/>
      <c r="L19" s="49"/>
      <c r="M19" s="49"/>
      <c r="N19" s="49"/>
      <c r="O19" s="45"/>
      <c r="P19" s="108"/>
      <c r="Q19" s="51"/>
      <c r="R19" s="108"/>
      <c r="S19" s="108"/>
    </row>
    <row r="20" spans="1:21" s="55" customFormat="1" ht="26.25" hidden="1" customHeight="1" x14ac:dyDescent="0.25">
      <c r="A20" s="10" t="s">
        <v>41</v>
      </c>
      <c r="B20" s="11" t="s">
        <v>42</v>
      </c>
      <c r="C20" s="11"/>
      <c r="D20" s="52"/>
      <c r="E20" s="52"/>
      <c r="F20" s="52"/>
      <c r="G20" s="53"/>
      <c r="H20" s="52"/>
      <c r="I20" s="14"/>
      <c r="J20" s="54"/>
      <c r="K20" s="54"/>
      <c r="L20" s="54"/>
      <c r="M20" s="54"/>
      <c r="N20" s="54"/>
      <c r="O20" s="109"/>
      <c r="P20" s="110"/>
      <c r="Q20" s="41"/>
      <c r="R20" s="110"/>
    </row>
    <row r="21" spans="1:21" s="61" customFormat="1" ht="26.25" hidden="1" customHeight="1" x14ac:dyDescent="0.2">
      <c r="A21" s="56"/>
      <c r="B21" s="57" t="s">
        <v>43</v>
      </c>
      <c r="C21" s="57"/>
      <c r="D21" s="58"/>
      <c r="E21" s="58"/>
      <c r="F21" s="58"/>
      <c r="G21" s="53"/>
      <c r="H21" s="58"/>
      <c r="I21" s="59"/>
      <c r="J21" s="60"/>
      <c r="K21" s="60"/>
      <c r="L21" s="60"/>
      <c r="M21" s="60"/>
      <c r="N21" s="60"/>
      <c r="O21" s="105">
        <f t="shared" ref="O21:O29" si="5">SUM(K21:N21)</f>
        <v>0</v>
      </c>
      <c r="P21" s="111"/>
      <c r="Q21" s="43">
        <f t="shared" ref="Q21:Q29" si="6">+O21-F21</f>
        <v>0</v>
      </c>
      <c r="R21" s="111"/>
    </row>
    <row r="22" spans="1:21" s="64" customFormat="1" ht="26.25" hidden="1" customHeight="1" x14ac:dyDescent="0.2">
      <c r="A22" s="62">
        <v>1</v>
      </c>
      <c r="B22" s="63" t="s">
        <v>44</v>
      </c>
      <c r="C22" s="17" t="s">
        <v>45</v>
      </c>
      <c r="D22" s="18"/>
      <c r="E22" s="18"/>
      <c r="F22" s="18"/>
      <c r="G22" s="19"/>
      <c r="H22" s="18"/>
      <c r="I22" s="20">
        <v>4474</v>
      </c>
      <c r="J22" s="18"/>
      <c r="K22" s="18"/>
      <c r="L22" s="18"/>
      <c r="M22" s="18"/>
      <c r="N22" s="18"/>
      <c r="O22" s="17">
        <f t="shared" si="5"/>
        <v>0</v>
      </c>
      <c r="P22" s="112">
        <f>+VLOOKUP(B22,'[157]m codes'!$A:$B,2,0)</f>
        <v>200030286</v>
      </c>
      <c r="Q22" s="18">
        <f t="shared" si="6"/>
        <v>0</v>
      </c>
      <c r="R22" s="112"/>
    </row>
    <row r="23" spans="1:21" s="42" customFormat="1" ht="26.25" hidden="1" customHeight="1" x14ac:dyDescent="0.2">
      <c r="A23" s="15">
        <f>+A22+1</f>
        <v>2</v>
      </c>
      <c r="B23" s="16" t="s">
        <v>46</v>
      </c>
      <c r="C23" s="17" t="s">
        <v>45</v>
      </c>
      <c r="D23" s="18">
        <v>5</v>
      </c>
      <c r="E23" s="18"/>
      <c r="F23" s="18"/>
      <c r="G23" s="19"/>
      <c r="H23" s="18"/>
      <c r="I23" s="20"/>
      <c r="J23" s="18"/>
      <c r="K23" s="18"/>
      <c r="L23" s="18"/>
      <c r="M23" s="18"/>
      <c r="N23" s="18"/>
      <c r="O23" s="105">
        <f t="shared" si="5"/>
        <v>0</v>
      </c>
      <c r="P23" s="106">
        <f>+VLOOKUP(B23,'[157]m codes'!$A:$B,2,0)</f>
        <v>200030287</v>
      </c>
      <c r="Q23" s="65">
        <f t="shared" si="6"/>
        <v>0</v>
      </c>
      <c r="R23" s="106"/>
      <c r="U23" s="64"/>
    </row>
    <row r="24" spans="1:21" s="42" customFormat="1" ht="26.25" hidden="1" customHeight="1" x14ac:dyDescent="0.2">
      <c r="A24" s="15">
        <f t="shared" ref="A24:A29" si="7">+A23+1</f>
        <v>3</v>
      </c>
      <c r="B24" s="16" t="s">
        <v>47</v>
      </c>
      <c r="C24" s="17" t="s">
        <v>45</v>
      </c>
      <c r="D24" s="18">
        <v>5</v>
      </c>
      <c r="E24" s="18"/>
      <c r="F24" s="18"/>
      <c r="G24" s="19"/>
      <c r="H24" s="18"/>
      <c r="I24" s="20"/>
      <c r="J24" s="18"/>
      <c r="K24" s="18"/>
      <c r="L24" s="18"/>
      <c r="M24" s="18"/>
      <c r="N24" s="18"/>
      <c r="O24" s="105">
        <f t="shared" si="5"/>
        <v>0</v>
      </c>
      <c r="P24" s="106">
        <f>+VLOOKUP(B24,'[157]m codes'!$A:$B,2,0)</f>
        <v>200030288</v>
      </c>
      <c r="Q24" s="65">
        <f t="shared" si="6"/>
        <v>0</v>
      </c>
      <c r="R24" s="106"/>
      <c r="U24" s="64"/>
    </row>
    <row r="25" spans="1:21" s="42" customFormat="1" ht="26.25" hidden="1" customHeight="1" x14ac:dyDescent="0.2">
      <c r="A25" s="15">
        <f t="shared" si="7"/>
        <v>4</v>
      </c>
      <c r="B25" s="16" t="s">
        <v>48</v>
      </c>
      <c r="C25" s="17" t="s">
        <v>45</v>
      </c>
      <c r="D25" s="18"/>
      <c r="E25" s="18"/>
      <c r="F25" s="18"/>
      <c r="G25" s="19"/>
      <c r="H25" s="18"/>
      <c r="I25" s="20"/>
      <c r="J25" s="18"/>
      <c r="K25" s="18"/>
      <c r="L25" s="18"/>
      <c r="M25" s="18"/>
      <c r="N25" s="18"/>
      <c r="O25" s="105">
        <f t="shared" si="5"/>
        <v>0</v>
      </c>
      <c r="P25" s="106">
        <f>+VLOOKUP(B25,'[157]m codes'!$A:$B,2,0)</f>
        <v>200030289</v>
      </c>
      <c r="Q25" s="65">
        <f t="shared" si="6"/>
        <v>0</v>
      </c>
      <c r="R25" s="106"/>
      <c r="U25" s="64"/>
    </row>
    <row r="26" spans="1:21" s="42" customFormat="1" ht="26.25" hidden="1" customHeight="1" x14ac:dyDescent="0.2">
      <c r="A26" s="15">
        <f t="shared" si="7"/>
        <v>5</v>
      </c>
      <c r="B26" s="16" t="s">
        <v>49</v>
      </c>
      <c r="C26" s="17" t="s">
        <v>45</v>
      </c>
      <c r="D26" s="18"/>
      <c r="E26" s="18"/>
      <c r="F26" s="18"/>
      <c r="G26" s="19"/>
      <c r="H26" s="18"/>
      <c r="I26" s="20">
        <v>4474</v>
      </c>
      <c r="J26" s="18"/>
      <c r="K26" s="18"/>
      <c r="L26" s="18"/>
      <c r="M26" s="18"/>
      <c r="N26" s="18"/>
      <c r="O26" s="105">
        <f t="shared" si="5"/>
        <v>0</v>
      </c>
      <c r="P26" s="106">
        <f>+VLOOKUP(B26,'[157]m codes'!$A:$B,2,0)</f>
        <v>200032212</v>
      </c>
      <c r="Q26" s="65">
        <f t="shared" si="6"/>
        <v>0</v>
      </c>
      <c r="R26" s="106"/>
      <c r="U26" s="64"/>
    </row>
    <row r="27" spans="1:21" s="42" customFormat="1" ht="26.25" hidden="1" customHeight="1" x14ac:dyDescent="0.2">
      <c r="A27" s="15">
        <f t="shared" si="7"/>
        <v>6</v>
      </c>
      <c r="B27" s="16" t="s">
        <v>50</v>
      </c>
      <c r="C27" s="17" t="s">
        <v>45</v>
      </c>
      <c r="D27" s="18"/>
      <c r="E27" s="18"/>
      <c r="F27" s="18"/>
      <c r="G27" s="19"/>
      <c r="H27" s="18"/>
      <c r="I27" s="20"/>
      <c r="J27" s="18"/>
      <c r="K27" s="18"/>
      <c r="L27" s="18"/>
      <c r="M27" s="18"/>
      <c r="N27" s="18"/>
      <c r="O27" s="105">
        <f t="shared" si="5"/>
        <v>0</v>
      </c>
      <c r="P27" s="106">
        <f>+VLOOKUP(B27,'[157]m codes'!$A:$B,2,0)</f>
        <v>200030291</v>
      </c>
      <c r="Q27" s="65">
        <f t="shared" si="6"/>
        <v>0</v>
      </c>
      <c r="R27" s="106"/>
      <c r="U27" s="64"/>
    </row>
    <row r="28" spans="1:21" s="42" customFormat="1" ht="26.25" hidden="1" customHeight="1" x14ac:dyDescent="0.2">
      <c r="A28" s="15">
        <f t="shared" si="7"/>
        <v>7</v>
      </c>
      <c r="B28" s="16" t="s">
        <v>51</v>
      </c>
      <c r="C28" s="17" t="s">
        <v>45</v>
      </c>
      <c r="D28" s="18"/>
      <c r="E28" s="18"/>
      <c r="F28" s="18"/>
      <c r="G28" s="19"/>
      <c r="H28" s="18"/>
      <c r="I28" s="20"/>
      <c r="J28" s="18"/>
      <c r="K28" s="18"/>
      <c r="L28" s="18"/>
      <c r="M28" s="18"/>
      <c r="N28" s="18"/>
      <c r="O28" s="105">
        <f t="shared" si="5"/>
        <v>0</v>
      </c>
      <c r="P28" s="106">
        <f>+VLOOKUP(B28,'[157]m codes'!$A:$B,2,0)</f>
        <v>200030293</v>
      </c>
      <c r="Q28" s="65">
        <f t="shared" si="6"/>
        <v>0</v>
      </c>
      <c r="R28" s="106"/>
      <c r="U28" s="64"/>
    </row>
    <row r="29" spans="1:21" s="42" customFormat="1" ht="26.25" hidden="1" customHeight="1" x14ac:dyDescent="0.2">
      <c r="A29" s="15">
        <f t="shared" si="7"/>
        <v>8</v>
      </c>
      <c r="B29" s="16" t="s">
        <v>52</v>
      </c>
      <c r="C29" s="17" t="s">
        <v>45</v>
      </c>
      <c r="D29" s="18"/>
      <c r="E29" s="18"/>
      <c r="F29" s="18"/>
      <c r="G29" s="19"/>
      <c r="H29" s="18"/>
      <c r="I29" s="20"/>
      <c r="J29" s="18"/>
      <c r="K29" s="18"/>
      <c r="L29" s="18"/>
      <c r="M29" s="18"/>
      <c r="N29" s="18"/>
      <c r="O29" s="105">
        <f t="shared" si="5"/>
        <v>0</v>
      </c>
      <c r="P29" s="106">
        <f>+VLOOKUP(B29,'[157]m codes'!$A:$B,2,0)</f>
        <v>200030300</v>
      </c>
      <c r="Q29" s="43">
        <f t="shared" si="6"/>
        <v>0</v>
      </c>
      <c r="R29" s="106"/>
      <c r="U29" s="64"/>
    </row>
    <row r="30" spans="1:21" s="50" customFormat="1" ht="26.25" hidden="1" customHeight="1" x14ac:dyDescent="0.25">
      <c r="A30" s="44"/>
      <c r="B30" s="45" t="s">
        <v>40</v>
      </c>
      <c r="C30" s="45"/>
      <c r="D30" s="46"/>
      <c r="E30" s="46"/>
      <c r="F30" s="46"/>
      <c r="G30" s="47"/>
      <c r="H30" s="46"/>
      <c r="I30" s="48"/>
      <c r="J30" s="49"/>
      <c r="K30" s="49"/>
      <c r="L30" s="49"/>
      <c r="M30" s="49"/>
      <c r="N30" s="49"/>
      <c r="O30" s="45"/>
      <c r="P30" s="108"/>
      <c r="Q30" s="51"/>
      <c r="R30" s="108"/>
    </row>
    <row r="31" spans="1:21" ht="26.25" hidden="1" customHeight="1" x14ac:dyDescent="0.25">
      <c r="A31" s="56" t="s">
        <v>53</v>
      </c>
      <c r="B31" s="57" t="s">
        <v>54</v>
      </c>
      <c r="C31" s="57"/>
      <c r="D31" s="58"/>
      <c r="E31" s="58"/>
      <c r="F31" s="58"/>
      <c r="G31" s="53"/>
      <c r="H31" s="58"/>
      <c r="I31" s="59"/>
      <c r="J31" s="60"/>
      <c r="K31" s="60"/>
      <c r="L31" s="60"/>
      <c r="M31" s="60"/>
      <c r="N31" s="60"/>
      <c r="O31" s="113"/>
      <c r="P31" s="114"/>
      <c r="Q31" s="43">
        <f t="shared" ref="Q31:Q64" si="8">+O31-F31</f>
        <v>0</v>
      </c>
      <c r="R31" s="114"/>
    </row>
    <row r="32" spans="1:21" s="42" customFormat="1" ht="26.25" hidden="1" customHeight="1" x14ac:dyDescent="0.2">
      <c r="A32" s="15">
        <v>1</v>
      </c>
      <c r="B32" s="16" t="s">
        <v>55</v>
      </c>
      <c r="C32" s="17" t="s">
        <v>45</v>
      </c>
      <c r="D32" s="18"/>
      <c r="E32" s="18"/>
      <c r="F32" s="18"/>
      <c r="G32" s="19"/>
      <c r="H32" s="18"/>
      <c r="I32" s="20">
        <v>4474</v>
      </c>
      <c r="J32" s="18"/>
      <c r="K32" s="18"/>
      <c r="L32" s="18"/>
      <c r="M32" s="18"/>
      <c r="N32" s="18"/>
      <c r="O32" s="105">
        <f t="shared" ref="O32:O64" si="9">SUM(K32:N32)</f>
        <v>0</v>
      </c>
      <c r="P32" s="106">
        <f>+VLOOKUP(B32,'[157]m codes'!$A:$B,2,0)</f>
        <v>200032593</v>
      </c>
      <c r="Q32" s="43">
        <f t="shared" si="8"/>
        <v>0</v>
      </c>
      <c r="R32" s="106"/>
    </row>
    <row r="33" spans="1:18" s="42" customFormat="1" ht="26.25" hidden="1" customHeight="1" x14ac:dyDescent="0.2">
      <c r="A33" s="15">
        <f>+A32+1</f>
        <v>2</v>
      </c>
      <c r="B33" s="16" t="s">
        <v>56</v>
      </c>
      <c r="C33" s="17" t="s">
        <v>45</v>
      </c>
      <c r="D33" s="18"/>
      <c r="E33" s="18"/>
      <c r="F33" s="18"/>
      <c r="G33" s="19"/>
      <c r="H33" s="18"/>
      <c r="I33" s="20"/>
      <c r="J33" s="18"/>
      <c r="K33" s="18"/>
      <c r="L33" s="18"/>
      <c r="M33" s="18"/>
      <c r="N33" s="18"/>
      <c r="O33" s="105">
        <f t="shared" si="9"/>
        <v>0</v>
      </c>
      <c r="P33" s="106">
        <f>+VLOOKUP(B33,'[157]m codes'!$A:$B,2,0)</f>
        <v>200032575</v>
      </c>
      <c r="Q33" s="43">
        <f t="shared" si="8"/>
        <v>0</v>
      </c>
      <c r="R33" s="106"/>
    </row>
    <row r="34" spans="1:18" s="42" customFormat="1" ht="26.25" hidden="1" customHeight="1" x14ac:dyDescent="0.2">
      <c r="A34" s="15">
        <f t="shared" ref="A34:A64" si="10">+A33+1</f>
        <v>3</v>
      </c>
      <c r="B34" s="16" t="s">
        <v>57</v>
      </c>
      <c r="C34" s="17" t="s">
        <v>45</v>
      </c>
      <c r="D34" s="18"/>
      <c r="E34" s="18"/>
      <c r="F34" s="18"/>
      <c r="G34" s="19"/>
      <c r="H34" s="18"/>
      <c r="I34" s="20"/>
      <c r="J34" s="18"/>
      <c r="K34" s="18"/>
      <c r="L34" s="18"/>
      <c r="M34" s="18"/>
      <c r="N34" s="18"/>
      <c r="O34" s="105">
        <f t="shared" si="9"/>
        <v>0</v>
      </c>
      <c r="P34" s="106">
        <f>+VLOOKUP(B34,'[157]m codes'!$A:$B,2,0)</f>
        <v>200032202</v>
      </c>
      <c r="Q34" s="43">
        <f t="shared" si="8"/>
        <v>0</v>
      </c>
      <c r="R34" s="106"/>
    </row>
    <row r="35" spans="1:18" s="42" customFormat="1" ht="26.25" hidden="1" customHeight="1" x14ac:dyDescent="0.2">
      <c r="A35" s="15">
        <f t="shared" si="10"/>
        <v>4</v>
      </c>
      <c r="B35" s="16" t="s">
        <v>58</v>
      </c>
      <c r="C35" s="17" t="s">
        <v>45</v>
      </c>
      <c r="D35" s="18"/>
      <c r="E35" s="18"/>
      <c r="F35" s="18"/>
      <c r="G35" s="19"/>
      <c r="H35" s="18"/>
      <c r="I35" s="20">
        <v>4474</v>
      </c>
      <c r="J35" s="18"/>
      <c r="K35" s="18"/>
      <c r="L35" s="18"/>
      <c r="M35" s="18"/>
      <c r="N35" s="18"/>
      <c r="O35" s="105">
        <f t="shared" si="9"/>
        <v>0</v>
      </c>
      <c r="P35" s="106">
        <f>+VLOOKUP(B35,'[157]m codes'!$A:$B,2,0)</f>
        <v>200032233</v>
      </c>
      <c r="Q35" s="43">
        <f t="shared" si="8"/>
        <v>0</v>
      </c>
      <c r="R35" s="106"/>
    </row>
    <row r="36" spans="1:18" s="42" customFormat="1" ht="26.25" hidden="1" customHeight="1" x14ac:dyDescent="0.2">
      <c r="A36" s="15">
        <f t="shared" si="10"/>
        <v>5</v>
      </c>
      <c r="B36" s="16" t="s">
        <v>59</v>
      </c>
      <c r="C36" s="17" t="s">
        <v>45</v>
      </c>
      <c r="D36" s="18"/>
      <c r="E36" s="18"/>
      <c r="F36" s="18"/>
      <c r="G36" s="19"/>
      <c r="H36" s="18"/>
      <c r="I36" s="20"/>
      <c r="J36" s="18"/>
      <c r="K36" s="18"/>
      <c r="L36" s="18"/>
      <c r="M36" s="18"/>
      <c r="N36" s="18"/>
      <c r="O36" s="105">
        <f t="shared" si="9"/>
        <v>0</v>
      </c>
      <c r="P36" s="106">
        <f>+VLOOKUP(B36,'[157]m codes'!$A:$B,2,0)</f>
        <v>200032203</v>
      </c>
      <c r="Q36" s="43">
        <f t="shared" si="8"/>
        <v>0</v>
      </c>
      <c r="R36" s="106"/>
    </row>
    <row r="37" spans="1:18" s="42" customFormat="1" ht="26.25" hidden="1" customHeight="1" x14ac:dyDescent="0.2">
      <c r="A37" s="15">
        <f t="shared" si="10"/>
        <v>6</v>
      </c>
      <c r="B37" s="16" t="s">
        <v>60</v>
      </c>
      <c r="C37" s="17" t="s">
        <v>45</v>
      </c>
      <c r="D37" s="18"/>
      <c r="E37" s="18"/>
      <c r="F37" s="18"/>
      <c r="G37" s="19"/>
      <c r="H37" s="18"/>
      <c r="I37" s="20"/>
      <c r="J37" s="18"/>
      <c r="K37" s="18"/>
      <c r="L37" s="18"/>
      <c r="M37" s="18"/>
      <c r="N37" s="18"/>
      <c r="O37" s="105">
        <f t="shared" si="9"/>
        <v>0</v>
      </c>
      <c r="P37" s="106">
        <f>+VLOOKUP(B37,'[157]m codes'!$A:$B,2,0)</f>
        <v>200032204</v>
      </c>
      <c r="Q37" s="43">
        <f t="shared" si="8"/>
        <v>0</v>
      </c>
      <c r="R37" s="106"/>
    </row>
    <row r="38" spans="1:18" s="42" customFormat="1" ht="26.25" hidden="1" customHeight="1" x14ac:dyDescent="0.2">
      <c r="A38" s="15">
        <f t="shared" si="10"/>
        <v>7</v>
      </c>
      <c r="B38" s="16" t="s">
        <v>61</v>
      </c>
      <c r="C38" s="17" t="s">
        <v>45</v>
      </c>
      <c r="D38" s="18"/>
      <c r="E38" s="18"/>
      <c r="F38" s="18"/>
      <c r="G38" s="19"/>
      <c r="H38" s="18"/>
      <c r="I38" s="20">
        <v>4474</v>
      </c>
      <c r="J38" s="18"/>
      <c r="K38" s="18"/>
      <c r="L38" s="18"/>
      <c r="M38" s="18"/>
      <c r="N38" s="18"/>
      <c r="O38" s="105">
        <f t="shared" si="9"/>
        <v>0</v>
      </c>
      <c r="P38" s="106">
        <f>+VLOOKUP(B38,'[157]m codes'!$A:$B,2,0)</f>
        <v>200032234</v>
      </c>
      <c r="Q38" s="43">
        <f t="shared" si="8"/>
        <v>0</v>
      </c>
      <c r="R38" s="106"/>
    </row>
    <row r="39" spans="1:18" s="42" customFormat="1" ht="26.25" hidden="1" customHeight="1" x14ac:dyDescent="0.2">
      <c r="A39" s="15">
        <f t="shared" si="10"/>
        <v>8</v>
      </c>
      <c r="B39" s="16" t="s">
        <v>62</v>
      </c>
      <c r="C39" s="17" t="s">
        <v>45</v>
      </c>
      <c r="D39" s="18"/>
      <c r="E39" s="18"/>
      <c r="F39" s="18"/>
      <c r="G39" s="19"/>
      <c r="H39" s="18"/>
      <c r="I39" s="20"/>
      <c r="J39" s="18"/>
      <c r="K39" s="18"/>
      <c r="L39" s="18"/>
      <c r="M39" s="18"/>
      <c r="N39" s="18"/>
      <c r="O39" s="105">
        <f t="shared" si="9"/>
        <v>0</v>
      </c>
      <c r="P39" s="106">
        <f>+VLOOKUP(B39,'[157]m codes'!$A:$B,2,0)</f>
        <v>200032205</v>
      </c>
      <c r="Q39" s="43">
        <f t="shared" si="8"/>
        <v>0</v>
      </c>
      <c r="R39" s="106"/>
    </row>
    <row r="40" spans="1:18" s="42" customFormat="1" ht="26.25" hidden="1" customHeight="1" x14ac:dyDescent="0.2">
      <c r="A40" s="15">
        <f t="shared" si="10"/>
        <v>9</v>
      </c>
      <c r="B40" s="16" t="s">
        <v>63</v>
      </c>
      <c r="C40" s="17" t="s">
        <v>45</v>
      </c>
      <c r="D40" s="18"/>
      <c r="E40" s="18"/>
      <c r="F40" s="18"/>
      <c r="G40" s="19"/>
      <c r="H40" s="18"/>
      <c r="I40" s="20"/>
      <c r="J40" s="18"/>
      <c r="K40" s="18"/>
      <c r="L40" s="18"/>
      <c r="M40" s="18"/>
      <c r="N40" s="18"/>
      <c r="O40" s="105">
        <f t="shared" si="9"/>
        <v>0</v>
      </c>
      <c r="P40" s="106">
        <f>+VLOOKUP(B40,'[157]m codes'!$A:$B,2,0)</f>
        <v>200032206</v>
      </c>
      <c r="Q40" s="43">
        <f t="shared" si="8"/>
        <v>0</v>
      </c>
      <c r="R40" s="106"/>
    </row>
    <row r="41" spans="1:18" s="42" customFormat="1" ht="26.25" hidden="1" customHeight="1" x14ac:dyDescent="0.2">
      <c r="A41" s="15">
        <f t="shared" si="10"/>
        <v>10</v>
      </c>
      <c r="B41" s="16" t="s">
        <v>64</v>
      </c>
      <c r="C41" s="17" t="s">
        <v>45</v>
      </c>
      <c r="D41" s="18"/>
      <c r="E41" s="18"/>
      <c r="F41" s="18"/>
      <c r="G41" s="19"/>
      <c r="H41" s="18"/>
      <c r="I41" s="20">
        <v>4474</v>
      </c>
      <c r="J41" s="18"/>
      <c r="K41" s="18"/>
      <c r="L41" s="18"/>
      <c r="M41" s="18"/>
      <c r="N41" s="18"/>
      <c r="O41" s="105">
        <f t="shared" si="9"/>
        <v>0</v>
      </c>
      <c r="P41" s="106">
        <f>+VLOOKUP(B41,'[157]m codes'!$A:$B,2,0)</f>
        <v>200032207</v>
      </c>
      <c r="Q41" s="43">
        <f t="shared" si="8"/>
        <v>0</v>
      </c>
      <c r="R41" s="106"/>
    </row>
    <row r="42" spans="1:18" s="42" customFormat="1" ht="26.25" hidden="1" customHeight="1" x14ac:dyDescent="0.2">
      <c r="A42" s="15">
        <f t="shared" si="10"/>
        <v>11</v>
      </c>
      <c r="B42" s="16" t="s">
        <v>65</v>
      </c>
      <c r="C42" s="17" t="s">
        <v>45</v>
      </c>
      <c r="D42" s="18"/>
      <c r="E42" s="18"/>
      <c r="F42" s="18"/>
      <c r="G42" s="19"/>
      <c r="H42" s="18"/>
      <c r="I42" s="20"/>
      <c r="J42" s="18"/>
      <c r="K42" s="18"/>
      <c r="L42" s="18"/>
      <c r="M42" s="18"/>
      <c r="N42" s="18"/>
      <c r="O42" s="105">
        <f t="shared" si="9"/>
        <v>0</v>
      </c>
      <c r="P42" s="106">
        <f>+VLOOKUP(B42,'[157]m codes'!$A:$B,2,0)</f>
        <v>200032235</v>
      </c>
      <c r="Q42" s="43">
        <f t="shared" si="8"/>
        <v>0</v>
      </c>
      <c r="R42" s="106"/>
    </row>
    <row r="43" spans="1:18" s="42" customFormat="1" ht="26.25" hidden="1" customHeight="1" x14ac:dyDescent="0.2">
      <c r="A43" s="15">
        <f t="shared" si="10"/>
        <v>12</v>
      </c>
      <c r="B43" s="16" t="s">
        <v>66</v>
      </c>
      <c r="C43" s="17" t="s">
        <v>45</v>
      </c>
      <c r="D43" s="18"/>
      <c r="E43" s="18"/>
      <c r="F43" s="18"/>
      <c r="G43" s="19"/>
      <c r="H43" s="18"/>
      <c r="I43" s="20"/>
      <c r="J43" s="18"/>
      <c r="K43" s="18"/>
      <c r="L43" s="18"/>
      <c r="M43" s="18"/>
      <c r="N43" s="18"/>
      <c r="O43" s="105">
        <f t="shared" si="9"/>
        <v>0</v>
      </c>
      <c r="P43" s="106">
        <f>+VLOOKUP(B43,'[157]m codes'!$A:$B,2,0)</f>
        <v>200032208</v>
      </c>
      <c r="Q43" s="43">
        <f t="shared" si="8"/>
        <v>0</v>
      </c>
      <c r="R43" s="106"/>
    </row>
    <row r="44" spans="1:18" s="42" customFormat="1" ht="26.25" hidden="1" customHeight="1" x14ac:dyDescent="0.2">
      <c r="A44" s="15">
        <f t="shared" si="10"/>
        <v>13</v>
      </c>
      <c r="B44" s="16" t="s">
        <v>67</v>
      </c>
      <c r="C44" s="17" t="s">
        <v>45</v>
      </c>
      <c r="D44" s="18"/>
      <c r="E44" s="18"/>
      <c r="F44" s="18"/>
      <c r="G44" s="19"/>
      <c r="H44" s="18"/>
      <c r="I44" s="20">
        <v>4474</v>
      </c>
      <c r="J44" s="18"/>
      <c r="K44" s="18"/>
      <c r="L44" s="18"/>
      <c r="M44" s="18"/>
      <c r="N44" s="18"/>
      <c r="O44" s="105">
        <f t="shared" si="9"/>
        <v>0</v>
      </c>
      <c r="P44" s="106">
        <f>+VLOOKUP(B44,'[157]m codes'!$A:$B,2,0)</f>
        <v>200032209</v>
      </c>
      <c r="Q44" s="43">
        <f t="shared" si="8"/>
        <v>0</v>
      </c>
      <c r="R44" s="106"/>
    </row>
    <row r="45" spans="1:18" s="42" customFormat="1" ht="26.25" hidden="1" customHeight="1" x14ac:dyDescent="0.2">
      <c r="A45" s="15">
        <f t="shared" si="10"/>
        <v>14</v>
      </c>
      <c r="B45" s="16" t="s">
        <v>68</v>
      </c>
      <c r="C45" s="17" t="s">
        <v>45</v>
      </c>
      <c r="D45" s="18"/>
      <c r="E45" s="18"/>
      <c r="F45" s="18"/>
      <c r="G45" s="19"/>
      <c r="H45" s="18"/>
      <c r="I45" s="20"/>
      <c r="J45" s="18"/>
      <c r="K45" s="18"/>
      <c r="L45" s="18"/>
      <c r="M45" s="18"/>
      <c r="N45" s="18"/>
      <c r="O45" s="105">
        <f t="shared" si="9"/>
        <v>0</v>
      </c>
      <c r="P45" s="106">
        <f>+VLOOKUP(B45,'[157]m codes'!$A:$B,2,0)</f>
        <v>200032210</v>
      </c>
      <c r="Q45" s="43">
        <f t="shared" si="8"/>
        <v>0</v>
      </c>
      <c r="R45" s="106"/>
    </row>
    <row r="46" spans="1:18" s="42" customFormat="1" ht="26.25" hidden="1" customHeight="1" x14ac:dyDescent="0.2">
      <c r="A46" s="15">
        <f t="shared" si="10"/>
        <v>15</v>
      </c>
      <c r="B46" s="16" t="s">
        <v>69</v>
      </c>
      <c r="C46" s="17" t="s">
        <v>45</v>
      </c>
      <c r="D46" s="18"/>
      <c r="E46" s="18"/>
      <c r="F46" s="18"/>
      <c r="G46" s="19"/>
      <c r="H46" s="18"/>
      <c r="I46" s="20"/>
      <c r="J46" s="18"/>
      <c r="K46" s="18"/>
      <c r="L46" s="18"/>
      <c r="M46" s="18"/>
      <c r="N46" s="18"/>
      <c r="O46" s="105">
        <f t="shared" si="9"/>
        <v>0</v>
      </c>
      <c r="P46" s="106">
        <f>+VLOOKUP(B46,'[157]m codes'!$A:$B,2,0)</f>
        <v>200032211</v>
      </c>
      <c r="Q46" s="43">
        <f t="shared" si="8"/>
        <v>0</v>
      </c>
      <c r="R46" s="106"/>
    </row>
    <row r="47" spans="1:18" s="42" customFormat="1" ht="26.25" hidden="1" customHeight="1" x14ac:dyDescent="0.2">
      <c r="A47" s="15">
        <f t="shared" si="10"/>
        <v>16</v>
      </c>
      <c r="B47" s="16" t="s">
        <v>70</v>
      </c>
      <c r="C47" s="17" t="s">
        <v>45</v>
      </c>
      <c r="D47" s="18"/>
      <c r="E47" s="18"/>
      <c r="F47" s="18"/>
      <c r="G47" s="19"/>
      <c r="H47" s="18"/>
      <c r="I47" s="20">
        <v>4474</v>
      </c>
      <c r="J47" s="18"/>
      <c r="K47" s="18"/>
      <c r="L47" s="18"/>
      <c r="M47" s="18"/>
      <c r="N47" s="18"/>
      <c r="O47" s="105">
        <f t="shared" si="9"/>
        <v>0</v>
      </c>
      <c r="P47" s="106">
        <f>+VLOOKUP(B47,'[157]m codes'!$A:$B,2,0)</f>
        <v>200032236</v>
      </c>
      <c r="Q47" s="43">
        <f t="shared" si="8"/>
        <v>0</v>
      </c>
      <c r="R47" s="106"/>
    </row>
    <row r="48" spans="1:18" s="42" customFormat="1" ht="26.25" hidden="1" customHeight="1" x14ac:dyDescent="0.2">
      <c r="A48" s="15">
        <f t="shared" si="10"/>
        <v>17</v>
      </c>
      <c r="B48" s="16" t="s">
        <v>71</v>
      </c>
      <c r="C48" s="17" t="s">
        <v>45</v>
      </c>
      <c r="D48" s="18"/>
      <c r="E48" s="18"/>
      <c r="F48" s="18"/>
      <c r="G48" s="19"/>
      <c r="H48" s="18"/>
      <c r="I48" s="20"/>
      <c r="J48" s="18"/>
      <c r="K48" s="18"/>
      <c r="L48" s="18"/>
      <c r="M48" s="18"/>
      <c r="N48" s="18"/>
      <c r="O48" s="105">
        <f t="shared" si="9"/>
        <v>0</v>
      </c>
      <c r="P48" s="106">
        <f>+VLOOKUP(B48,'[157]m codes'!$A:$B,2,0)</f>
        <v>200032213</v>
      </c>
      <c r="Q48" s="65">
        <f t="shared" si="8"/>
        <v>0</v>
      </c>
      <c r="R48" s="106"/>
    </row>
    <row r="49" spans="1:18" s="42" customFormat="1" ht="26.25" hidden="1" customHeight="1" x14ac:dyDescent="0.2">
      <c r="A49" s="15">
        <f t="shared" si="10"/>
        <v>18</v>
      </c>
      <c r="B49" s="16" t="s">
        <v>72</v>
      </c>
      <c r="C49" s="17" t="s">
        <v>45</v>
      </c>
      <c r="D49" s="18"/>
      <c r="E49" s="18"/>
      <c r="F49" s="18"/>
      <c r="G49" s="19"/>
      <c r="H49" s="18"/>
      <c r="I49" s="20"/>
      <c r="J49" s="18"/>
      <c r="K49" s="18"/>
      <c r="L49" s="18"/>
      <c r="M49" s="18"/>
      <c r="N49" s="18"/>
      <c r="O49" s="105">
        <f t="shared" si="9"/>
        <v>0</v>
      </c>
      <c r="P49" s="106">
        <f>+VLOOKUP(B49,'[157]m codes'!$A:$B,2,0)</f>
        <v>200032214</v>
      </c>
      <c r="Q49" s="43">
        <f t="shared" si="8"/>
        <v>0</v>
      </c>
      <c r="R49" s="106"/>
    </row>
    <row r="50" spans="1:18" s="42" customFormat="1" ht="26.25" hidden="1" customHeight="1" x14ac:dyDescent="0.2">
      <c r="A50" s="15">
        <f t="shared" si="10"/>
        <v>19</v>
      </c>
      <c r="B50" s="16" t="s">
        <v>73</v>
      </c>
      <c r="C50" s="17" t="s">
        <v>45</v>
      </c>
      <c r="D50" s="18"/>
      <c r="E50" s="18"/>
      <c r="F50" s="18"/>
      <c r="G50" s="19"/>
      <c r="H50" s="18"/>
      <c r="I50" s="20">
        <v>4474</v>
      </c>
      <c r="J50" s="18"/>
      <c r="K50" s="18"/>
      <c r="L50" s="18"/>
      <c r="M50" s="18"/>
      <c r="N50" s="18"/>
      <c r="O50" s="105">
        <f t="shared" si="9"/>
        <v>0</v>
      </c>
      <c r="P50" s="106">
        <f>+VLOOKUP(B50,'[157]m codes'!$A:$B,2,0)</f>
        <v>200032215</v>
      </c>
      <c r="Q50" s="43">
        <f t="shared" si="8"/>
        <v>0</v>
      </c>
      <c r="R50" s="106"/>
    </row>
    <row r="51" spans="1:18" s="42" customFormat="1" ht="26.25" hidden="1" customHeight="1" x14ac:dyDescent="0.2">
      <c r="A51" s="15">
        <f t="shared" si="10"/>
        <v>20</v>
      </c>
      <c r="B51" s="16" t="s">
        <v>74</v>
      </c>
      <c r="C51" s="17" t="s">
        <v>45</v>
      </c>
      <c r="D51" s="18"/>
      <c r="E51" s="18"/>
      <c r="F51" s="18"/>
      <c r="G51" s="19"/>
      <c r="H51" s="18"/>
      <c r="I51" s="20"/>
      <c r="J51" s="18"/>
      <c r="K51" s="18"/>
      <c r="L51" s="18"/>
      <c r="M51" s="18"/>
      <c r="N51" s="18"/>
      <c r="O51" s="105">
        <f t="shared" si="9"/>
        <v>0</v>
      </c>
      <c r="P51" s="106">
        <f>+VLOOKUP(B51,'[157]m codes'!$A:$B,2,0)</f>
        <v>200032216</v>
      </c>
      <c r="Q51" s="43">
        <f t="shared" si="8"/>
        <v>0</v>
      </c>
      <c r="R51" s="106"/>
    </row>
    <row r="52" spans="1:18" s="42" customFormat="1" ht="26.25" hidden="1" customHeight="1" x14ac:dyDescent="0.2">
      <c r="A52" s="15">
        <f t="shared" si="10"/>
        <v>21</v>
      </c>
      <c r="B52" s="16" t="s">
        <v>75</v>
      </c>
      <c r="C52" s="17" t="s">
        <v>45</v>
      </c>
      <c r="D52" s="18"/>
      <c r="E52" s="18"/>
      <c r="F52" s="18"/>
      <c r="G52" s="19"/>
      <c r="H52" s="18"/>
      <c r="I52" s="20"/>
      <c r="J52" s="18"/>
      <c r="K52" s="18"/>
      <c r="L52" s="18"/>
      <c r="M52" s="18"/>
      <c r="N52" s="18"/>
      <c r="O52" s="105">
        <f t="shared" si="9"/>
        <v>0</v>
      </c>
      <c r="P52" s="106">
        <f>+VLOOKUP(B52,'[157]m codes'!$A:$B,2,0)</f>
        <v>200030290</v>
      </c>
      <c r="Q52" s="43">
        <f t="shared" si="8"/>
        <v>0</v>
      </c>
      <c r="R52" s="106"/>
    </row>
    <row r="53" spans="1:18" s="42" customFormat="1" ht="26.25" hidden="1" customHeight="1" x14ac:dyDescent="0.2">
      <c r="A53" s="15">
        <f t="shared" si="10"/>
        <v>22</v>
      </c>
      <c r="B53" s="16" t="s">
        <v>76</v>
      </c>
      <c r="C53" s="17" t="s">
        <v>45</v>
      </c>
      <c r="D53" s="18"/>
      <c r="E53" s="18"/>
      <c r="F53" s="18"/>
      <c r="G53" s="19"/>
      <c r="H53" s="18"/>
      <c r="I53" s="20">
        <v>4474</v>
      </c>
      <c r="J53" s="18"/>
      <c r="K53" s="18"/>
      <c r="L53" s="18"/>
      <c r="M53" s="18"/>
      <c r="N53" s="18"/>
      <c r="O53" s="105">
        <f t="shared" si="9"/>
        <v>0</v>
      </c>
      <c r="P53" s="106">
        <f>+VLOOKUP(B53,'[157]m codes'!$A:$B,2,0)</f>
        <v>200032237</v>
      </c>
      <c r="Q53" s="43">
        <f t="shared" si="8"/>
        <v>0</v>
      </c>
      <c r="R53" s="106"/>
    </row>
    <row r="54" spans="1:18" s="42" customFormat="1" ht="26.25" hidden="1" customHeight="1" x14ac:dyDescent="0.2">
      <c r="A54" s="15">
        <f t="shared" si="10"/>
        <v>23</v>
      </c>
      <c r="B54" s="16" t="s">
        <v>77</v>
      </c>
      <c r="C54" s="17" t="s">
        <v>45</v>
      </c>
      <c r="D54" s="18"/>
      <c r="E54" s="18"/>
      <c r="F54" s="18"/>
      <c r="G54" s="19"/>
      <c r="H54" s="18"/>
      <c r="I54" s="20"/>
      <c r="J54" s="18"/>
      <c r="K54" s="18"/>
      <c r="L54" s="18"/>
      <c r="M54" s="18"/>
      <c r="N54" s="18"/>
      <c r="O54" s="105">
        <f t="shared" si="9"/>
        <v>0</v>
      </c>
      <c r="P54" s="106">
        <f>+VLOOKUP(B54,'[157]m codes'!$A:$B,2,0)</f>
        <v>200032217</v>
      </c>
      <c r="Q54" s="43">
        <f t="shared" si="8"/>
        <v>0</v>
      </c>
      <c r="R54" s="106"/>
    </row>
    <row r="55" spans="1:18" s="42" customFormat="1" ht="26.25" hidden="1" customHeight="1" x14ac:dyDescent="0.2">
      <c r="A55" s="15">
        <f t="shared" si="10"/>
        <v>24</v>
      </c>
      <c r="B55" s="16" t="s">
        <v>78</v>
      </c>
      <c r="C55" s="17" t="s">
        <v>45</v>
      </c>
      <c r="D55" s="18"/>
      <c r="E55" s="18"/>
      <c r="F55" s="18"/>
      <c r="G55" s="19"/>
      <c r="H55" s="18"/>
      <c r="I55" s="20"/>
      <c r="J55" s="18"/>
      <c r="K55" s="18"/>
      <c r="L55" s="18"/>
      <c r="M55" s="18"/>
      <c r="N55" s="18"/>
      <c r="O55" s="105">
        <f t="shared" si="9"/>
        <v>0</v>
      </c>
      <c r="P55" s="106">
        <f>+VLOOKUP(B55,'[157]m codes'!$A:$B,2,0)</f>
        <v>200032218</v>
      </c>
      <c r="Q55" s="43">
        <f t="shared" si="8"/>
        <v>0</v>
      </c>
      <c r="R55" s="106"/>
    </row>
    <row r="56" spans="1:18" s="42" customFormat="1" ht="26.25" hidden="1" customHeight="1" x14ac:dyDescent="0.2">
      <c r="A56" s="15">
        <f t="shared" si="10"/>
        <v>25</v>
      </c>
      <c r="B56" s="16" t="s">
        <v>79</v>
      </c>
      <c r="C56" s="17" t="s">
        <v>45</v>
      </c>
      <c r="D56" s="18"/>
      <c r="E56" s="18"/>
      <c r="F56" s="18"/>
      <c r="G56" s="19"/>
      <c r="H56" s="18"/>
      <c r="I56" s="20">
        <v>4474</v>
      </c>
      <c r="J56" s="18"/>
      <c r="K56" s="18"/>
      <c r="L56" s="18"/>
      <c r="M56" s="18"/>
      <c r="N56" s="18"/>
      <c r="O56" s="105">
        <f t="shared" si="9"/>
        <v>0</v>
      </c>
      <c r="P56" s="106">
        <f>+VLOOKUP(B56,'[157]m codes'!$A:$B,2,0)</f>
        <v>200032219</v>
      </c>
      <c r="Q56" s="43">
        <f t="shared" si="8"/>
        <v>0</v>
      </c>
      <c r="R56" s="106"/>
    </row>
    <row r="57" spans="1:18" s="42" customFormat="1" ht="26.25" hidden="1" customHeight="1" x14ac:dyDescent="0.2">
      <c r="A57" s="15">
        <f t="shared" si="10"/>
        <v>26</v>
      </c>
      <c r="B57" s="16" t="s">
        <v>80</v>
      </c>
      <c r="C57" s="17" t="s">
        <v>45</v>
      </c>
      <c r="D57" s="18"/>
      <c r="E57" s="18"/>
      <c r="F57" s="18"/>
      <c r="G57" s="19"/>
      <c r="H57" s="18"/>
      <c r="I57" s="20"/>
      <c r="J57" s="18"/>
      <c r="K57" s="18"/>
      <c r="L57" s="18"/>
      <c r="M57" s="18"/>
      <c r="N57" s="18"/>
      <c r="O57" s="105">
        <f t="shared" si="9"/>
        <v>0</v>
      </c>
      <c r="P57" s="106">
        <f>+VLOOKUP(B57,'[157]m codes'!$A:$B,2,0)</f>
        <v>200030292</v>
      </c>
      <c r="Q57" s="43">
        <f t="shared" si="8"/>
        <v>0</v>
      </c>
      <c r="R57" s="106"/>
    </row>
    <row r="58" spans="1:18" s="42" customFormat="1" ht="26.25" hidden="1" customHeight="1" x14ac:dyDescent="0.2">
      <c r="A58" s="15">
        <f t="shared" si="10"/>
        <v>27</v>
      </c>
      <c r="B58" s="16" t="s">
        <v>81</v>
      </c>
      <c r="C58" s="17" t="s">
        <v>45</v>
      </c>
      <c r="D58" s="18"/>
      <c r="E58" s="18"/>
      <c r="F58" s="18"/>
      <c r="G58" s="19"/>
      <c r="H58" s="18"/>
      <c r="I58" s="20"/>
      <c r="J58" s="18"/>
      <c r="K58" s="18"/>
      <c r="L58" s="18"/>
      <c r="M58" s="18"/>
      <c r="N58" s="18"/>
      <c r="O58" s="105">
        <f t="shared" si="9"/>
        <v>0</v>
      </c>
      <c r="P58" s="106">
        <f>+VLOOKUP(B58,'[157]m codes'!$A:$B,2,0)</f>
        <v>200032220</v>
      </c>
      <c r="Q58" s="43">
        <f t="shared" si="8"/>
        <v>0</v>
      </c>
      <c r="R58" s="106"/>
    </row>
    <row r="59" spans="1:18" s="42" customFormat="1" ht="26.25" hidden="1" customHeight="1" x14ac:dyDescent="0.2">
      <c r="A59" s="15">
        <f t="shared" si="10"/>
        <v>28</v>
      </c>
      <c r="B59" s="16" t="s">
        <v>82</v>
      </c>
      <c r="C59" s="17" t="s">
        <v>45</v>
      </c>
      <c r="D59" s="18"/>
      <c r="E59" s="18"/>
      <c r="F59" s="18"/>
      <c r="G59" s="19"/>
      <c r="H59" s="18"/>
      <c r="I59" s="20">
        <v>4474</v>
      </c>
      <c r="J59" s="18"/>
      <c r="K59" s="18"/>
      <c r="L59" s="18"/>
      <c r="M59" s="18"/>
      <c r="N59" s="18"/>
      <c r="O59" s="105">
        <f t="shared" si="9"/>
        <v>0</v>
      </c>
      <c r="P59" s="106">
        <f>+VLOOKUP(B59,'[157]m codes'!$A:$B,2,0)</f>
        <v>200032222</v>
      </c>
      <c r="Q59" s="43">
        <f t="shared" si="8"/>
        <v>0</v>
      </c>
      <c r="R59" s="106"/>
    </row>
    <row r="60" spans="1:18" s="42" customFormat="1" ht="26.25" hidden="1" customHeight="1" x14ac:dyDescent="0.2">
      <c r="A60" s="15">
        <f t="shared" si="10"/>
        <v>29</v>
      </c>
      <c r="B60" s="16" t="s">
        <v>83</v>
      </c>
      <c r="C60" s="17" t="s">
        <v>45</v>
      </c>
      <c r="D60" s="18"/>
      <c r="E60" s="18"/>
      <c r="F60" s="18"/>
      <c r="G60" s="19"/>
      <c r="H60" s="18"/>
      <c r="I60" s="20"/>
      <c r="J60" s="18"/>
      <c r="K60" s="18"/>
      <c r="L60" s="18"/>
      <c r="M60" s="18"/>
      <c r="N60" s="18"/>
      <c r="O60" s="105">
        <f t="shared" si="9"/>
        <v>0</v>
      </c>
      <c r="P60" s="106">
        <f>+VLOOKUP(B60,'[157]m codes'!$A:$B,2,0)</f>
        <v>200030297</v>
      </c>
      <c r="Q60" s="43">
        <f t="shared" si="8"/>
        <v>0</v>
      </c>
      <c r="R60" s="106"/>
    </row>
    <row r="61" spans="1:18" s="42" customFormat="1" ht="26.25" hidden="1" customHeight="1" x14ac:dyDescent="0.2">
      <c r="A61" s="15">
        <f t="shared" si="10"/>
        <v>30</v>
      </c>
      <c r="B61" s="16" t="s">
        <v>84</v>
      </c>
      <c r="C61" s="17" t="s">
        <v>45</v>
      </c>
      <c r="D61" s="18"/>
      <c r="E61" s="18"/>
      <c r="F61" s="18"/>
      <c r="G61" s="19"/>
      <c r="H61" s="18"/>
      <c r="I61" s="20"/>
      <c r="J61" s="18"/>
      <c r="K61" s="18"/>
      <c r="L61" s="18"/>
      <c r="M61" s="18"/>
      <c r="N61" s="18"/>
      <c r="O61" s="105">
        <f t="shared" si="9"/>
        <v>0</v>
      </c>
      <c r="P61" s="106">
        <f>+VLOOKUP(B61,'[157]m codes'!$A:$B,2,0)</f>
        <v>200030298</v>
      </c>
      <c r="Q61" s="43">
        <f t="shared" si="8"/>
        <v>0</v>
      </c>
      <c r="R61" s="106"/>
    </row>
    <row r="62" spans="1:18" s="42" customFormat="1" ht="26.25" hidden="1" customHeight="1" x14ac:dyDescent="0.2">
      <c r="A62" s="15">
        <f t="shared" si="10"/>
        <v>31</v>
      </c>
      <c r="B62" s="16" t="s">
        <v>85</v>
      </c>
      <c r="C62" s="17" t="s">
        <v>45</v>
      </c>
      <c r="D62" s="18"/>
      <c r="E62" s="18"/>
      <c r="F62" s="18"/>
      <c r="G62" s="19"/>
      <c r="H62" s="18"/>
      <c r="I62" s="20"/>
      <c r="J62" s="18"/>
      <c r="K62" s="18"/>
      <c r="L62" s="18"/>
      <c r="M62" s="18"/>
      <c r="N62" s="18"/>
      <c r="O62" s="105">
        <f t="shared" si="9"/>
        <v>0</v>
      </c>
      <c r="P62" s="106">
        <f>+VLOOKUP(B62,'[157]m codes'!$A:$B,2,0)</f>
        <v>200032223</v>
      </c>
      <c r="Q62" s="43">
        <f t="shared" si="8"/>
        <v>0</v>
      </c>
      <c r="R62" s="106"/>
    </row>
    <row r="63" spans="1:18" s="42" customFormat="1" ht="26.25" hidden="1" customHeight="1" x14ac:dyDescent="0.2">
      <c r="A63" s="15">
        <f t="shared" si="10"/>
        <v>32</v>
      </c>
      <c r="B63" s="16" t="s">
        <v>86</v>
      </c>
      <c r="C63" s="17" t="s">
        <v>45</v>
      </c>
      <c r="D63" s="18"/>
      <c r="E63" s="18"/>
      <c r="F63" s="18"/>
      <c r="G63" s="19"/>
      <c r="H63" s="18"/>
      <c r="I63" s="20"/>
      <c r="J63" s="18"/>
      <c r="K63" s="18"/>
      <c r="L63" s="18"/>
      <c r="M63" s="18"/>
      <c r="N63" s="18"/>
      <c r="O63" s="105">
        <f t="shared" si="9"/>
        <v>0</v>
      </c>
      <c r="P63" s="106">
        <f>+VLOOKUP(B63,'[157]m codes'!$A:$B,2,0)</f>
        <v>200032225</v>
      </c>
      <c r="Q63" s="43">
        <f t="shared" si="8"/>
        <v>0</v>
      </c>
      <c r="R63" s="106"/>
    </row>
    <row r="64" spans="1:18" s="42" customFormat="1" ht="26.25" hidden="1" customHeight="1" x14ac:dyDescent="0.2">
      <c r="A64" s="15">
        <f t="shared" si="10"/>
        <v>33</v>
      </c>
      <c r="B64" s="16" t="s">
        <v>87</v>
      </c>
      <c r="C64" s="17" t="s">
        <v>45</v>
      </c>
      <c r="D64" s="18"/>
      <c r="E64" s="18"/>
      <c r="F64" s="18"/>
      <c r="G64" s="19"/>
      <c r="H64" s="18"/>
      <c r="I64" s="20"/>
      <c r="J64" s="18"/>
      <c r="K64" s="18"/>
      <c r="L64" s="18"/>
      <c r="M64" s="18"/>
      <c r="N64" s="18"/>
      <c r="O64" s="105">
        <f t="shared" si="9"/>
        <v>0</v>
      </c>
      <c r="P64" s="106">
        <f>+VLOOKUP(B64,'[157]m codes'!$A:$B,2,0)</f>
        <v>200032228</v>
      </c>
      <c r="Q64" s="43">
        <f t="shared" si="8"/>
        <v>0</v>
      </c>
      <c r="R64" s="106"/>
    </row>
    <row r="65" spans="1:18" s="50" customFormat="1" ht="26.25" hidden="1" customHeight="1" x14ac:dyDescent="0.25">
      <c r="A65" s="44"/>
      <c r="B65" s="45" t="s">
        <v>40</v>
      </c>
      <c r="C65" s="45"/>
      <c r="D65" s="46"/>
      <c r="E65" s="46"/>
      <c r="F65" s="46"/>
      <c r="G65" s="47"/>
      <c r="H65" s="46"/>
      <c r="I65" s="48"/>
      <c r="J65" s="49"/>
      <c r="K65" s="49"/>
      <c r="L65" s="49"/>
      <c r="M65" s="49"/>
      <c r="N65" s="49"/>
      <c r="O65" s="45"/>
      <c r="P65" s="108"/>
      <c r="Q65" s="51"/>
      <c r="R65" s="108"/>
    </row>
    <row r="66" spans="1:18" ht="26.25" hidden="1" customHeight="1" x14ac:dyDescent="0.25">
      <c r="A66" s="56" t="s">
        <v>88</v>
      </c>
      <c r="B66" s="57" t="s">
        <v>89</v>
      </c>
      <c r="C66" s="57"/>
      <c r="D66" s="58"/>
      <c r="E66" s="58"/>
      <c r="F66" s="58"/>
      <c r="G66" s="53"/>
      <c r="H66" s="58"/>
      <c r="I66" s="59"/>
      <c r="J66" s="60"/>
      <c r="K66" s="60"/>
      <c r="L66" s="60"/>
      <c r="M66" s="60"/>
      <c r="N66" s="60"/>
      <c r="O66" s="113"/>
      <c r="P66" s="106"/>
      <c r="Q66" s="43">
        <f t="shared" ref="Q66:Q74" si="11">+O66-F66</f>
        <v>0</v>
      </c>
      <c r="R66" s="114"/>
    </row>
    <row r="67" spans="1:18" s="42" customFormat="1" ht="26.25" hidden="1" customHeight="1" x14ac:dyDescent="0.2">
      <c r="A67" s="15">
        <v>1</v>
      </c>
      <c r="B67" s="16" t="s">
        <v>90</v>
      </c>
      <c r="C67" s="17" t="s">
        <v>45</v>
      </c>
      <c r="D67" s="18"/>
      <c r="E67" s="18"/>
      <c r="F67" s="18"/>
      <c r="G67" s="19"/>
      <c r="H67" s="18"/>
      <c r="I67" s="20">
        <v>4474</v>
      </c>
      <c r="J67" s="18"/>
      <c r="K67" s="18"/>
      <c r="L67" s="18"/>
      <c r="M67" s="18"/>
      <c r="N67" s="18"/>
      <c r="O67" s="105">
        <f t="shared" ref="O67:O74" si="12">SUM(K67:N67)</f>
        <v>0</v>
      </c>
      <c r="P67" s="106">
        <f>+VLOOKUP(B67,'[157]m codes'!$A:$B,2,0)</f>
        <v>200030301</v>
      </c>
      <c r="Q67" s="43">
        <f t="shared" si="11"/>
        <v>0</v>
      </c>
      <c r="R67" s="106"/>
    </row>
    <row r="68" spans="1:18" s="42" customFormat="1" ht="26.25" hidden="1" customHeight="1" x14ac:dyDescent="0.2">
      <c r="A68" s="15">
        <f>+A67+1</f>
        <v>2</v>
      </c>
      <c r="B68" s="16" t="s">
        <v>91</v>
      </c>
      <c r="C68" s="17" t="s">
        <v>45</v>
      </c>
      <c r="D68" s="18"/>
      <c r="E68" s="18"/>
      <c r="F68" s="18"/>
      <c r="G68" s="19"/>
      <c r="H68" s="18"/>
      <c r="I68" s="20"/>
      <c r="J68" s="18"/>
      <c r="K68" s="18"/>
      <c r="L68" s="18"/>
      <c r="M68" s="18"/>
      <c r="N68" s="18"/>
      <c r="O68" s="105">
        <f t="shared" si="12"/>
        <v>0</v>
      </c>
      <c r="P68" s="106">
        <f>+VLOOKUP(B68,'[157]m codes'!$A:$B,2,0)</f>
        <v>200030302</v>
      </c>
      <c r="Q68" s="43">
        <f t="shared" si="11"/>
        <v>0</v>
      </c>
      <c r="R68" s="106"/>
    </row>
    <row r="69" spans="1:18" s="42" customFormat="1" ht="26.25" hidden="1" customHeight="1" x14ac:dyDescent="0.2">
      <c r="A69" s="15">
        <f t="shared" ref="A69:A74" si="13">+A68+1</f>
        <v>3</v>
      </c>
      <c r="B69" s="16" t="s">
        <v>92</v>
      </c>
      <c r="C69" s="17" t="s">
        <v>45</v>
      </c>
      <c r="D69" s="18"/>
      <c r="E69" s="18"/>
      <c r="F69" s="18"/>
      <c r="G69" s="19"/>
      <c r="H69" s="18"/>
      <c r="I69" s="20">
        <v>4474</v>
      </c>
      <c r="J69" s="18"/>
      <c r="K69" s="18"/>
      <c r="L69" s="18"/>
      <c r="M69" s="18"/>
      <c r="N69" s="18"/>
      <c r="O69" s="105">
        <f t="shared" si="12"/>
        <v>0</v>
      </c>
      <c r="P69" s="106">
        <f>+VLOOKUP(B69,'[157]m codes'!$A:$B,2,0)</f>
        <v>200030303</v>
      </c>
      <c r="Q69" s="43">
        <f t="shared" si="11"/>
        <v>0</v>
      </c>
      <c r="R69" s="106"/>
    </row>
    <row r="70" spans="1:18" s="42" customFormat="1" ht="26.25" hidden="1" customHeight="1" x14ac:dyDescent="0.2">
      <c r="A70" s="15">
        <f t="shared" si="13"/>
        <v>4</v>
      </c>
      <c r="B70" s="16" t="s">
        <v>93</v>
      </c>
      <c r="C70" s="17" t="s">
        <v>45</v>
      </c>
      <c r="D70" s="18"/>
      <c r="E70" s="18"/>
      <c r="F70" s="18"/>
      <c r="G70" s="19"/>
      <c r="H70" s="18"/>
      <c r="I70" s="20"/>
      <c r="J70" s="18"/>
      <c r="K70" s="18"/>
      <c r="L70" s="18"/>
      <c r="M70" s="18"/>
      <c r="N70" s="18"/>
      <c r="O70" s="105">
        <f t="shared" si="12"/>
        <v>0</v>
      </c>
      <c r="P70" s="106">
        <f>+VLOOKUP(B70,'[157]m codes'!$A:$B,2,0)</f>
        <v>200030304</v>
      </c>
      <c r="Q70" s="43">
        <f t="shared" si="11"/>
        <v>0</v>
      </c>
      <c r="R70" s="106"/>
    </row>
    <row r="71" spans="1:18" s="42" customFormat="1" ht="26.25" hidden="1" customHeight="1" x14ac:dyDescent="0.2">
      <c r="A71" s="15">
        <f t="shared" si="13"/>
        <v>5</v>
      </c>
      <c r="B71" s="16" t="s">
        <v>94</v>
      </c>
      <c r="C71" s="17" t="s">
        <v>45</v>
      </c>
      <c r="D71" s="18"/>
      <c r="E71" s="18"/>
      <c r="F71" s="18"/>
      <c r="G71" s="19"/>
      <c r="H71" s="18"/>
      <c r="I71" s="20">
        <v>4474</v>
      </c>
      <c r="J71" s="18"/>
      <c r="K71" s="18"/>
      <c r="L71" s="18"/>
      <c r="M71" s="18"/>
      <c r="N71" s="18"/>
      <c r="O71" s="105">
        <f t="shared" si="12"/>
        <v>0</v>
      </c>
      <c r="P71" s="106">
        <f>+VLOOKUP(B71,'[157]m codes'!$A:$B,2,0)</f>
        <v>200032584</v>
      </c>
      <c r="Q71" s="43">
        <f t="shared" si="11"/>
        <v>0</v>
      </c>
      <c r="R71" s="106"/>
    </row>
    <row r="72" spans="1:18" s="42" customFormat="1" ht="26.25" hidden="1" customHeight="1" x14ac:dyDescent="0.2">
      <c r="A72" s="15">
        <f t="shared" si="13"/>
        <v>6</v>
      </c>
      <c r="B72" s="16" t="s">
        <v>95</v>
      </c>
      <c r="C72" s="17" t="s">
        <v>45</v>
      </c>
      <c r="D72" s="18"/>
      <c r="E72" s="18"/>
      <c r="F72" s="18"/>
      <c r="G72" s="19"/>
      <c r="H72" s="18"/>
      <c r="I72" s="20"/>
      <c r="J72" s="18"/>
      <c r="K72" s="18"/>
      <c r="L72" s="18"/>
      <c r="M72" s="18"/>
      <c r="N72" s="18"/>
      <c r="O72" s="105">
        <f t="shared" si="12"/>
        <v>0</v>
      </c>
      <c r="P72" s="106">
        <f>+VLOOKUP(B72,'[157]m codes'!$A:$B,2,0)</f>
        <v>200030305</v>
      </c>
      <c r="Q72" s="43">
        <f t="shared" si="11"/>
        <v>0</v>
      </c>
      <c r="R72" s="106"/>
    </row>
    <row r="73" spans="1:18" s="42" customFormat="1" ht="26.25" hidden="1" customHeight="1" x14ac:dyDescent="0.2">
      <c r="A73" s="15">
        <f t="shared" si="13"/>
        <v>7</v>
      </c>
      <c r="B73" s="16" t="s">
        <v>96</v>
      </c>
      <c r="C73" s="17" t="s">
        <v>45</v>
      </c>
      <c r="D73" s="18"/>
      <c r="E73" s="18"/>
      <c r="F73" s="18"/>
      <c r="G73" s="19"/>
      <c r="H73" s="18"/>
      <c r="I73" s="20">
        <v>4474</v>
      </c>
      <c r="J73" s="18"/>
      <c r="K73" s="18"/>
      <c r="L73" s="18"/>
      <c r="M73" s="18"/>
      <c r="N73" s="18"/>
      <c r="O73" s="105">
        <f t="shared" si="12"/>
        <v>0</v>
      </c>
      <c r="P73" s="106">
        <f>+VLOOKUP(B73,'[157]m codes'!$A:$B,2,0)</f>
        <v>200030306</v>
      </c>
      <c r="Q73" s="43">
        <f t="shared" si="11"/>
        <v>0</v>
      </c>
      <c r="R73" s="106"/>
    </row>
    <row r="74" spans="1:18" s="42" customFormat="1" ht="26.25" hidden="1" customHeight="1" x14ac:dyDescent="0.2">
      <c r="A74" s="15">
        <f t="shared" si="13"/>
        <v>8</v>
      </c>
      <c r="B74" s="16" t="s">
        <v>97</v>
      </c>
      <c r="C74" s="17" t="s">
        <v>45</v>
      </c>
      <c r="D74" s="18"/>
      <c r="E74" s="18"/>
      <c r="F74" s="18"/>
      <c r="G74" s="19"/>
      <c r="H74" s="18"/>
      <c r="I74" s="20"/>
      <c r="J74" s="18"/>
      <c r="K74" s="18"/>
      <c r="L74" s="18"/>
      <c r="M74" s="18"/>
      <c r="N74" s="18"/>
      <c r="O74" s="105">
        <f t="shared" si="12"/>
        <v>0</v>
      </c>
      <c r="P74" s="106">
        <f>+VLOOKUP(B74,'[157]m codes'!$A:$B,2,0)</f>
        <v>200030308</v>
      </c>
      <c r="Q74" s="43">
        <f t="shared" si="11"/>
        <v>0</v>
      </c>
      <c r="R74" s="106"/>
    </row>
    <row r="75" spans="1:18" s="50" customFormat="1" ht="26.25" hidden="1" customHeight="1" x14ac:dyDescent="0.25">
      <c r="A75" s="44"/>
      <c r="B75" s="45" t="s">
        <v>98</v>
      </c>
      <c r="C75" s="45"/>
      <c r="D75" s="46"/>
      <c r="E75" s="46"/>
      <c r="F75" s="46"/>
      <c r="G75" s="47"/>
      <c r="H75" s="46"/>
      <c r="I75" s="48"/>
      <c r="J75" s="49"/>
      <c r="K75" s="49"/>
      <c r="L75" s="49"/>
      <c r="M75" s="49"/>
      <c r="N75" s="49"/>
      <c r="O75" s="45"/>
      <c r="P75" s="108"/>
      <c r="Q75" s="51"/>
      <c r="R75" s="108"/>
    </row>
    <row r="76" spans="1:18" ht="26.25" hidden="1" customHeight="1" x14ac:dyDescent="0.25">
      <c r="A76" s="56" t="s">
        <v>99</v>
      </c>
      <c r="B76" s="57" t="s">
        <v>100</v>
      </c>
      <c r="C76" s="57"/>
      <c r="D76" s="58"/>
      <c r="E76" s="58"/>
      <c r="F76" s="58"/>
      <c r="G76" s="53"/>
      <c r="H76" s="58"/>
      <c r="I76" s="59"/>
      <c r="J76" s="60"/>
      <c r="K76" s="60"/>
      <c r="L76" s="60"/>
      <c r="M76" s="60"/>
      <c r="N76" s="60"/>
      <c r="O76" s="113"/>
      <c r="P76" s="114"/>
      <c r="Q76" s="41"/>
      <c r="R76" s="114"/>
    </row>
    <row r="77" spans="1:18" s="42" customFormat="1" ht="26.25" hidden="1" customHeight="1" x14ac:dyDescent="0.2">
      <c r="A77" s="15">
        <v>1</v>
      </c>
      <c r="B77" s="16" t="s">
        <v>101</v>
      </c>
      <c r="C77" s="17" t="s">
        <v>45</v>
      </c>
      <c r="D77" s="18"/>
      <c r="E77" s="18"/>
      <c r="F77" s="18"/>
      <c r="G77" s="19"/>
      <c r="H77" s="18"/>
      <c r="I77" s="20">
        <v>4474</v>
      </c>
      <c r="J77" s="18"/>
      <c r="K77" s="18"/>
      <c r="L77" s="18"/>
      <c r="M77" s="18"/>
      <c r="N77" s="18"/>
      <c r="O77" s="105">
        <f t="shared" ref="O77:O104" si="14">SUM(K77:N77)</f>
        <v>0</v>
      </c>
      <c r="P77" s="106">
        <f>+VLOOKUP(B77,'[157]m codes'!$A:$B,2,0)</f>
        <v>200030309</v>
      </c>
      <c r="Q77" s="43">
        <f t="shared" ref="Q77:Q104" si="15">+O77-F77</f>
        <v>0</v>
      </c>
      <c r="R77" s="106"/>
    </row>
    <row r="78" spans="1:18" s="42" customFormat="1" ht="26.25" hidden="1" customHeight="1" x14ac:dyDescent="0.2">
      <c r="A78" s="15">
        <f>+A77+1</f>
        <v>2</v>
      </c>
      <c r="B78" s="16" t="s">
        <v>102</v>
      </c>
      <c r="C78" s="17" t="s">
        <v>45</v>
      </c>
      <c r="D78" s="18"/>
      <c r="E78" s="18"/>
      <c r="F78" s="18"/>
      <c r="G78" s="19"/>
      <c r="H78" s="18"/>
      <c r="I78" s="20"/>
      <c r="J78" s="18"/>
      <c r="K78" s="18"/>
      <c r="L78" s="18"/>
      <c r="M78" s="18"/>
      <c r="N78" s="18"/>
      <c r="O78" s="105">
        <f t="shared" si="14"/>
        <v>0</v>
      </c>
      <c r="P78" s="106">
        <f>+VLOOKUP(B78,'[157]m codes'!$A:$B,2,0)</f>
        <v>200030311</v>
      </c>
      <c r="Q78" s="65">
        <f t="shared" si="15"/>
        <v>0</v>
      </c>
      <c r="R78" s="106"/>
    </row>
    <row r="79" spans="1:18" s="42" customFormat="1" ht="26.25" hidden="1" customHeight="1" x14ac:dyDescent="0.2">
      <c r="A79" s="15">
        <f t="shared" ref="A79:A104" si="16">+A78+1</f>
        <v>3</v>
      </c>
      <c r="B79" s="16" t="s">
        <v>103</v>
      </c>
      <c r="C79" s="17" t="s">
        <v>45</v>
      </c>
      <c r="D79" s="18">
        <v>5</v>
      </c>
      <c r="E79" s="18"/>
      <c r="F79" s="18"/>
      <c r="G79" s="19"/>
      <c r="H79" s="18"/>
      <c r="I79" s="20"/>
      <c r="J79" s="18"/>
      <c r="K79" s="18"/>
      <c r="L79" s="18"/>
      <c r="M79" s="18"/>
      <c r="N79" s="18"/>
      <c r="O79" s="105">
        <f t="shared" si="14"/>
        <v>0</v>
      </c>
      <c r="P79" s="106">
        <f>+VLOOKUP(B79,'[157]m codes'!$A:$B,2,0)</f>
        <v>200030310</v>
      </c>
      <c r="Q79" s="43">
        <f t="shared" si="15"/>
        <v>0</v>
      </c>
      <c r="R79" s="106"/>
    </row>
    <row r="80" spans="1:18" s="42" customFormat="1" ht="26.25" hidden="1" customHeight="1" x14ac:dyDescent="0.2">
      <c r="A80" s="15">
        <f t="shared" si="16"/>
        <v>4</v>
      </c>
      <c r="B80" s="16" t="s">
        <v>104</v>
      </c>
      <c r="C80" s="17" t="s">
        <v>45</v>
      </c>
      <c r="D80" s="18"/>
      <c r="E80" s="18"/>
      <c r="F80" s="18"/>
      <c r="G80" s="19"/>
      <c r="H80" s="18"/>
      <c r="I80" s="20">
        <v>4474</v>
      </c>
      <c r="J80" s="18"/>
      <c r="K80" s="18"/>
      <c r="L80" s="18"/>
      <c r="M80" s="18"/>
      <c r="N80" s="18"/>
      <c r="O80" s="105">
        <f t="shared" si="14"/>
        <v>0</v>
      </c>
      <c r="P80" s="106">
        <f>+VLOOKUP(B80,'[157]m codes'!$A:$B,2,0)</f>
        <v>200030314</v>
      </c>
      <c r="Q80" s="43">
        <f t="shared" si="15"/>
        <v>0</v>
      </c>
      <c r="R80" s="106"/>
    </row>
    <row r="81" spans="1:18" s="42" customFormat="1" ht="26.25" hidden="1" customHeight="1" x14ac:dyDescent="0.2">
      <c r="A81" s="15">
        <f t="shared" si="16"/>
        <v>5</v>
      </c>
      <c r="B81" s="16" t="s">
        <v>105</v>
      </c>
      <c r="C81" s="17" t="s">
        <v>45</v>
      </c>
      <c r="D81" s="18"/>
      <c r="E81" s="18"/>
      <c r="F81" s="18"/>
      <c r="G81" s="19"/>
      <c r="H81" s="18"/>
      <c r="I81" s="20"/>
      <c r="J81" s="18"/>
      <c r="K81" s="18"/>
      <c r="L81" s="18"/>
      <c r="M81" s="18"/>
      <c r="N81" s="18"/>
      <c r="O81" s="105">
        <f t="shared" si="14"/>
        <v>0</v>
      </c>
      <c r="P81" s="106">
        <f>+VLOOKUP(B81,'[157]m codes'!$A:$B,2,0)</f>
        <v>200030312</v>
      </c>
      <c r="Q81" s="43">
        <f t="shared" si="15"/>
        <v>0</v>
      </c>
      <c r="R81" s="106"/>
    </row>
    <row r="82" spans="1:18" s="42" customFormat="1" ht="26.25" hidden="1" customHeight="1" x14ac:dyDescent="0.2">
      <c r="A82" s="15">
        <f t="shared" si="16"/>
        <v>6</v>
      </c>
      <c r="B82" s="16" t="s">
        <v>106</v>
      </c>
      <c r="C82" s="17" t="s">
        <v>45</v>
      </c>
      <c r="D82" s="18"/>
      <c r="E82" s="18"/>
      <c r="F82" s="18"/>
      <c r="G82" s="19"/>
      <c r="H82" s="18"/>
      <c r="I82" s="20"/>
      <c r="J82" s="18"/>
      <c r="K82" s="18"/>
      <c r="L82" s="18"/>
      <c r="M82" s="18"/>
      <c r="N82" s="18"/>
      <c r="O82" s="105">
        <f t="shared" si="14"/>
        <v>0</v>
      </c>
      <c r="P82" s="106">
        <f>+VLOOKUP(B82,'[157]m codes'!$A:$B,2,0)</f>
        <v>200030313</v>
      </c>
      <c r="Q82" s="43">
        <f t="shared" si="15"/>
        <v>0</v>
      </c>
      <c r="R82" s="106"/>
    </row>
    <row r="83" spans="1:18" s="42" customFormat="1" ht="26.25" hidden="1" customHeight="1" x14ac:dyDescent="0.2">
      <c r="A83" s="15">
        <f t="shared" si="16"/>
        <v>7</v>
      </c>
      <c r="B83" s="16" t="s">
        <v>107</v>
      </c>
      <c r="C83" s="17" t="s">
        <v>45</v>
      </c>
      <c r="D83" s="18"/>
      <c r="E83" s="18"/>
      <c r="F83" s="18"/>
      <c r="G83" s="19"/>
      <c r="H83" s="18"/>
      <c r="I83" s="20">
        <v>4474</v>
      </c>
      <c r="J83" s="18"/>
      <c r="K83" s="18"/>
      <c r="L83" s="18"/>
      <c r="M83" s="18"/>
      <c r="N83" s="18"/>
      <c r="O83" s="105">
        <f t="shared" si="14"/>
        <v>0</v>
      </c>
      <c r="P83" s="106">
        <f>+VLOOKUP(B83,'[157]m codes'!$A:$B,2,0)</f>
        <v>200032241</v>
      </c>
      <c r="Q83" s="43">
        <f t="shared" si="15"/>
        <v>0</v>
      </c>
      <c r="R83" s="106"/>
    </row>
    <row r="84" spans="1:18" s="42" customFormat="1" ht="26.25" hidden="1" customHeight="1" x14ac:dyDescent="0.2">
      <c r="A84" s="15">
        <f t="shared" si="16"/>
        <v>8</v>
      </c>
      <c r="B84" s="16" t="s">
        <v>108</v>
      </c>
      <c r="C84" s="17" t="s">
        <v>45</v>
      </c>
      <c r="D84" s="18"/>
      <c r="E84" s="18"/>
      <c r="F84" s="18"/>
      <c r="G84" s="19"/>
      <c r="H84" s="18"/>
      <c r="I84" s="20"/>
      <c r="J84" s="18"/>
      <c r="K84" s="18"/>
      <c r="L84" s="18"/>
      <c r="M84" s="18"/>
      <c r="N84" s="18"/>
      <c r="O84" s="105">
        <f t="shared" si="14"/>
        <v>0</v>
      </c>
      <c r="P84" s="106">
        <f>+VLOOKUP(B84,'[157]m codes'!$A:$B,2,0)</f>
        <v>200032239</v>
      </c>
      <c r="Q84" s="43">
        <f t="shared" si="15"/>
        <v>0</v>
      </c>
      <c r="R84" s="106"/>
    </row>
    <row r="85" spans="1:18" s="42" customFormat="1" ht="26.25" hidden="1" customHeight="1" x14ac:dyDescent="0.2">
      <c r="A85" s="15">
        <f t="shared" si="16"/>
        <v>9</v>
      </c>
      <c r="B85" s="16" t="s">
        <v>109</v>
      </c>
      <c r="C85" s="17" t="s">
        <v>45</v>
      </c>
      <c r="D85" s="18"/>
      <c r="E85" s="18"/>
      <c r="F85" s="18"/>
      <c r="G85" s="19"/>
      <c r="H85" s="18"/>
      <c r="I85" s="20"/>
      <c r="J85" s="18"/>
      <c r="K85" s="18"/>
      <c r="L85" s="18"/>
      <c r="M85" s="18"/>
      <c r="N85" s="18"/>
      <c r="O85" s="105">
        <f t="shared" si="14"/>
        <v>0</v>
      </c>
      <c r="P85" s="106">
        <f>+VLOOKUP(B85,'[157]m codes'!$A:$B,2,0)</f>
        <v>200032240</v>
      </c>
      <c r="Q85" s="43">
        <f t="shared" si="15"/>
        <v>0</v>
      </c>
      <c r="R85" s="106"/>
    </row>
    <row r="86" spans="1:18" s="42" customFormat="1" ht="26.25" hidden="1" customHeight="1" x14ac:dyDescent="0.2">
      <c r="A86" s="15">
        <f t="shared" si="16"/>
        <v>10</v>
      </c>
      <c r="B86" s="16" t="s">
        <v>110</v>
      </c>
      <c r="C86" s="17" t="s">
        <v>45</v>
      </c>
      <c r="D86" s="18"/>
      <c r="E86" s="18"/>
      <c r="F86" s="18"/>
      <c r="G86" s="19"/>
      <c r="H86" s="18"/>
      <c r="I86" s="20">
        <v>4474</v>
      </c>
      <c r="J86" s="18"/>
      <c r="K86" s="18"/>
      <c r="L86" s="18"/>
      <c r="M86" s="18"/>
      <c r="N86" s="18"/>
      <c r="O86" s="105">
        <f t="shared" si="14"/>
        <v>0</v>
      </c>
      <c r="P86" s="106">
        <f>+VLOOKUP(B86,'[157]m codes'!$A:$B,2,0)</f>
        <v>200032242</v>
      </c>
      <c r="Q86" s="43">
        <f t="shared" si="15"/>
        <v>0</v>
      </c>
      <c r="R86" s="106"/>
    </row>
    <row r="87" spans="1:18" s="42" customFormat="1" ht="26.25" hidden="1" customHeight="1" x14ac:dyDescent="0.2">
      <c r="A87" s="15">
        <f t="shared" si="16"/>
        <v>11</v>
      </c>
      <c r="B87" s="16" t="s">
        <v>111</v>
      </c>
      <c r="C87" s="17" t="s">
        <v>45</v>
      </c>
      <c r="D87" s="18"/>
      <c r="E87" s="18"/>
      <c r="F87" s="18"/>
      <c r="G87" s="19"/>
      <c r="H87" s="18"/>
      <c r="I87" s="20"/>
      <c r="J87" s="18"/>
      <c r="K87" s="18"/>
      <c r="L87" s="18"/>
      <c r="M87" s="18"/>
      <c r="N87" s="18"/>
      <c r="O87" s="105">
        <f t="shared" si="14"/>
        <v>0</v>
      </c>
      <c r="P87" s="106">
        <f>+VLOOKUP(B87,'[157]m codes'!$A:$B,2,0)</f>
        <v>200030320</v>
      </c>
      <c r="Q87" s="43">
        <f t="shared" si="15"/>
        <v>0</v>
      </c>
      <c r="R87" s="106"/>
    </row>
    <row r="88" spans="1:18" s="42" customFormat="1" ht="26.25" hidden="1" customHeight="1" x14ac:dyDescent="0.2">
      <c r="A88" s="15">
        <f t="shared" si="16"/>
        <v>12</v>
      </c>
      <c r="B88" s="16" t="s">
        <v>112</v>
      </c>
      <c r="C88" s="17" t="s">
        <v>45</v>
      </c>
      <c r="D88" s="18"/>
      <c r="E88" s="18"/>
      <c r="F88" s="18"/>
      <c r="G88" s="19"/>
      <c r="H88" s="18"/>
      <c r="I88" s="20"/>
      <c r="J88" s="18"/>
      <c r="K88" s="18"/>
      <c r="L88" s="18"/>
      <c r="M88" s="18"/>
      <c r="N88" s="18"/>
      <c r="O88" s="105">
        <f t="shared" si="14"/>
        <v>0</v>
      </c>
      <c r="P88" s="106">
        <f>+VLOOKUP(B88,'[157]m codes'!$A:$B,2,0)</f>
        <v>200032243</v>
      </c>
      <c r="Q88" s="43">
        <f t="shared" si="15"/>
        <v>0</v>
      </c>
      <c r="R88" s="106"/>
    </row>
    <row r="89" spans="1:18" s="42" customFormat="1" ht="26.25" hidden="1" customHeight="1" x14ac:dyDescent="0.2">
      <c r="A89" s="15">
        <f t="shared" si="16"/>
        <v>13</v>
      </c>
      <c r="B89" s="16" t="s">
        <v>113</v>
      </c>
      <c r="C89" s="17" t="s">
        <v>45</v>
      </c>
      <c r="D89" s="18"/>
      <c r="E89" s="18"/>
      <c r="F89" s="18"/>
      <c r="G89" s="19"/>
      <c r="H89" s="18"/>
      <c r="I89" s="20">
        <v>4474</v>
      </c>
      <c r="J89" s="18"/>
      <c r="K89" s="18"/>
      <c r="L89" s="18"/>
      <c r="M89" s="18"/>
      <c r="N89" s="18"/>
      <c r="O89" s="105">
        <f t="shared" si="14"/>
        <v>0</v>
      </c>
      <c r="P89" s="106">
        <f>+VLOOKUP(B89,'[157]m codes'!$A:$B,2,0)</f>
        <v>200030317</v>
      </c>
      <c r="Q89" s="43">
        <f t="shared" si="15"/>
        <v>0</v>
      </c>
      <c r="R89" s="106"/>
    </row>
    <row r="90" spans="1:18" s="42" customFormat="1" ht="26.25" hidden="1" customHeight="1" x14ac:dyDescent="0.2">
      <c r="A90" s="15">
        <f t="shared" si="16"/>
        <v>14</v>
      </c>
      <c r="B90" s="16" t="s">
        <v>114</v>
      </c>
      <c r="C90" s="17" t="s">
        <v>45</v>
      </c>
      <c r="D90" s="18"/>
      <c r="E90" s="18"/>
      <c r="F90" s="18"/>
      <c r="G90" s="19"/>
      <c r="H90" s="18"/>
      <c r="I90" s="20"/>
      <c r="J90" s="18"/>
      <c r="K90" s="18"/>
      <c r="L90" s="18"/>
      <c r="M90" s="18"/>
      <c r="N90" s="18"/>
      <c r="O90" s="105">
        <f t="shared" si="14"/>
        <v>0</v>
      </c>
      <c r="P90" s="106">
        <f>+VLOOKUP(B90,'[157]m codes'!$A:$B,2,0)</f>
        <v>200030315</v>
      </c>
      <c r="Q90" s="43">
        <f t="shared" si="15"/>
        <v>0</v>
      </c>
      <c r="R90" s="106"/>
    </row>
    <row r="91" spans="1:18" s="42" customFormat="1" ht="26.25" hidden="1" customHeight="1" x14ac:dyDescent="0.2">
      <c r="A91" s="15">
        <f t="shared" si="16"/>
        <v>15</v>
      </c>
      <c r="B91" s="16" t="s">
        <v>115</v>
      </c>
      <c r="C91" s="17" t="s">
        <v>45</v>
      </c>
      <c r="D91" s="18"/>
      <c r="E91" s="18"/>
      <c r="F91" s="18"/>
      <c r="G91" s="19"/>
      <c r="H91" s="18"/>
      <c r="I91" s="20"/>
      <c r="J91" s="18"/>
      <c r="K91" s="18"/>
      <c r="L91" s="18"/>
      <c r="M91" s="18"/>
      <c r="N91" s="18"/>
      <c r="O91" s="105">
        <f t="shared" si="14"/>
        <v>0</v>
      </c>
      <c r="P91" s="106">
        <f>+VLOOKUP(B91,'[157]m codes'!$A:$B,2,0)</f>
        <v>200030316</v>
      </c>
      <c r="Q91" s="43">
        <f t="shared" si="15"/>
        <v>0</v>
      </c>
      <c r="R91" s="106"/>
    </row>
    <row r="92" spans="1:18" s="42" customFormat="1" ht="26.25" hidden="1" customHeight="1" x14ac:dyDescent="0.2">
      <c r="A92" s="15">
        <f t="shared" si="16"/>
        <v>16</v>
      </c>
      <c r="B92" s="16" t="s">
        <v>116</v>
      </c>
      <c r="C92" s="17" t="s">
        <v>45</v>
      </c>
      <c r="D92" s="18"/>
      <c r="E92" s="18"/>
      <c r="F92" s="18"/>
      <c r="G92" s="19"/>
      <c r="H92" s="18"/>
      <c r="I92" s="20">
        <v>4474</v>
      </c>
      <c r="J92" s="18"/>
      <c r="K92" s="18"/>
      <c r="L92" s="18"/>
      <c r="M92" s="18"/>
      <c r="N92" s="18"/>
      <c r="O92" s="105">
        <f t="shared" si="14"/>
        <v>0</v>
      </c>
      <c r="P92" s="106">
        <f>+VLOOKUP(B92,'[157]m codes'!$A:$B,2,0)</f>
        <v>200032247</v>
      </c>
      <c r="Q92" s="43">
        <f t="shared" si="15"/>
        <v>0</v>
      </c>
      <c r="R92" s="106"/>
    </row>
    <row r="93" spans="1:18" s="42" customFormat="1" ht="26.25" hidden="1" customHeight="1" x14ac:dyDescent="0.2">
      <c r="A93" s="15">
        <f t="shared" si="16"/>
        <v>17</v>
      </c>
      <c r="B93" s="16" t="s">
        <v>117</v>
      </c>
      <c r="C93" s="17" t="s">
        <v>45</v>
      </c>
      <c r="D93" s="18"/>
      <c r="E93" s="18"/>
      <c r="F93" s="18"/>
      <c r="G93" s="19"/>
      <c r="H93" s="18"/>
      <c r="I93" s="20"/>
      <c r="J93" s="18"/>
      <c r="K93" s="18"/>
      <c r="L93" s="18"/>
      <c r="M93" s="18"/>
      <c r="N93" s="18"/>
      <c r="O93" s="105">
        <f t="shared" si="14"/>
        <v>0</v>
      </c>
      <c r="P93" s="106">
        <f>+VLOOKUP(B93,'[157]m codes'!$A:$B,2,0)</f>
        <v>200032246</v>
      </c>
      <c r="Q93" s="43">
        <f t="shared" si="15"/>
        <v>0</v>
      </c>
      <c r="R93" s="106"/>
    </row>
    <row r="94" spans="1:18" s="42" customFormat="1" ht="26.25" hidden="1" customHeight="1" x14ac:dyDescent="0.2">
      <c r="A94" s="15">
        <f t="shared" si="16"/>
        <v>18</v>
      </c>
      <c r="B94" s="16" t="s">
        <v>118</v>
      </c>
      <c r="C94" s="17" t="s">
        <v>45</v>
      </c>
      <c r="D94" s="18"/>
      <c r="E94" s="18"/>
      <c r="F94" s="18"/>
      <c r="G94" s="19"/>
      <c r="H94" s="18"/>
      <c r="I94" s="20"/>
      <c r="J94" s="18"/>
      <c r="K94" s="18"/>
      <c r="L94" s="18"/>
      <c r="M94" s="18"/>
      <c r="N94" s="18"/>
      <c r="O94" s="105">
        <f t="shared" si="14"/>
        <v>0</v>
      </c>
      <c r="P94" s="106">
        <f>+VLOOKUP(B94,'[157]m codes'!$A:$B,2,0)</f>
        <v>200032245</v>
      </c>
      <c r="Q94" s="43">
        <f t="shared" si="15"/>
        <v>0</v>
      </c>
      <c r="R94" s="106"/>
    </row>
    <row r="95" spans="1:18" s="42" customFormat="1" ht="26.25" hidden="1" customHeight="1" x14ac:dyDescent="0.2">
      <c r="A95" s="15">
        <f t="shared" si="16"/>
        <v>19</v>
      </c>
      <c r="B95" s="16" t="s">
        <v>119</v>
      </c>
      <c r="C95" s="17" t="s">
        <v>45</v>
      </c>
      <c r="D95" s="18"/>
      <c r="E95" s="18"/>
      <c r="F95" s="18"/>
      <c r="G95" s="19"/>
      <c r="H95" s="18"/>
      <c r="I95" s="20">
        <v>4474</v>
      </c>
      <c r="J95" s="18"/>
      <c r="K95" s="18"/>
      <c r="L95" s="18"/>
      <c r="M95" s="18"/>
      <c r="N95" s="18"/>
      <c r="O95" s="105">
        <f t="shared" si="14"/>
        <v>0</v>
      </c>
      <c r="P95" s="106">
        <f>+VLOOKUP(B95,'[157]m codes'!$A:$B,2,0)</f>
        <v>200030319</v>
      </c>
      <c r="Q95" s="43">
        <f t="shared" si="15"/>
        <v>0</v>
      </c>
      <c r="R95" s="106"/>
    </row>
    <row r="96" spans="1:18" s="42" customFormat="1" ht="26.25" hidden="1" customHeight="1" x14ac:dyDescent="0.2">
      <c r="A96" s="15">
        <f t="shared" si="16"/>
        <v>20</v>
      </c>
      <c r="B96" s="16" t="s">
        <v>120</v>
      </c>
      <c r="C96" s="17" t="s">
        <v>45</v>
      </c>
      <c r="D96" s="18"/>
      <c r="E96" s="18"/>
      <c r="F96" s="18"/>
      <c r="G96" s="19"/>
      <c r="H96" s="18"/>
      <c r="I96" s="20"/>
      <c r="J96" s="18"/>
      <c r="K96" s="18"/>
      <c r="L96" s="18"/>
      <c r="M96" s="18"/>
      <c r="N96" s="18"/>
      <c r="O96" s="105">
        <f t="shared" si="14"/>
        <v>0</v>
      </c>
      <c r="P96" s="106">
        <f>+VLOOKUP(B96,'[157]m codes'!$A:$B,2,0)</f>
        <v>200032244</v>
      </c>
      <c r="Q96" s="43">
        <f t="shared" si="15"/>
        <v>0</v>
      </c>
      <c r="R96" s="106"/>
    </row>
    <row r="97" spans="1:18" s="42" customFormat="1" ht="26.25" hidden="1" customHeight="1" x14ac:dyDescent="0.2">
      <c r="A97" s="15">
        <f t="shared" si="16"/>
        <v>21</v>
      </c>
      <c r="B97" s="16" t="s">
        <v>121</v>
      </c>
      <c r="C97" s="17" t="s">
        <v>45</v>
      </c>
      <c r="D97" s="18"/>
      <c r="E97" s="18"/>
      <c r="F97" s="18"/>
      <c r="G97" s="19"/>
      <c r="H97" s="18"/>
      <c r="I97" s="20"/>
      <c r="J97" s="18"/>
      <c r="K97" s="18"/>
      <c r="L97" s="18"/>
      <c r="M97" s="18"/>
      <c r="N97" s="18"/>
      <c r="O97" s="105">
        <f t="shared" si="14"/>
        <v>0</v>
      </c>
      <c r="P97" s="106">
        <f>+VLOOKUP(B97,'[157]m codes'!$A:$B,2,0)</f>
        <v>200030318</v>
      </c>
      <c r="Q97" s="43">
        <f t="shared" si="15"/>
        <v>0</v>
      </c>
      <c r="R97" s="106"/>
    </row>
    <row r="98" spans="1:18" s="42" customFormat="1" ht="26.25" hidden="1" customHeight="1" x14ac:dyDescent="0.2">
      <c r="A98" s="15">
        <f t="shared" si="16"/>
        <v>22</v>
      </c>
      <c r="B98" s="16" t="s">
        <v>122</v>
      </c>
      <c r="C98" s="17" t="s">
        <v>45</v>
      </c>
      <c r="D98" s="18"/>
      <c r="E98" s="18"/>
      <c r="F98" s="18"/>
      <c r="G98" s="19"/>
      <c r="H98" s="18"/>
      <c r="I98" s="20">
        <v>4474</v>
      </c>
      <c r="J98" s="18"/>
      <c r="K98" s="18"/>
      <c r="L98" s="18"/>
      <c r="M98" s="18"/>
      <c r="N98" s="18"/>
      <c r="O98" s="105">
        <f t="shared" si="14"/>
        <v>0</v>
      </c>
      <c r="P98" s="106">
        <f>+VLOOKUP(B98,'[157]m codes'!$A:$B,2,0)</f>
        <v>200032249</v>
      </c>
      <c r="Q98" s="43">
        <f t="shared" si="15"/>
        <v>0</v>
      </c>
      <c r="R98" s="106"/>
    </row>
    <row r="99" spans="1:18" s="42" customFormat="1" ht="26.25" hidden="1" customHeight="1" x14ac:dyDescent="0.2">
      <c r="A99" s="15">
        <f t="shared" si="16"/>
        <v>23</v>
      </c>
      <c r="B99" s="16" t="s">
        <v>123</v>
      </c>
      <c r="C99" s="17" t="s">
        <v>45</v>
      </c>
      <c r="D99" s="18"/>
      <c r="E99" s="18"/>
      <c r="F99" s="18"/>
      <c r="G99" s="19"/>
      <c r="H99" s="18"/>
      <c r="I99" s="20"/>
      <c r="J99" s="18"/>
      <c r="K99" s="18"/>
      <c r="L99" s="18"/>
      <c r="M99" s="18"/>
      <c r="N99" s="18"/>
      <c r="O99" s="105">
        <f t="shared" si="14"/>
        <v>0</v>
      </c>
      <c r="P99" s="106">
        <f>+VLOOKUP(B99,'[157]m codes'!$A:$B,2,0)</f>
        <v>200030326</v>
      </c>
      <c r="Q99" s="43">
        <f t="shared" si="15"/>
        <v>0</v>
      </c>
      <c r="R99" s="106"/>
    </row>
    <row r="100" spans="1:18" s="42" customFormat="1" ht="26.25" hidden="1" customHeight="1" x14ac:dyDescent="0.2">
      <c r="A100" s="15">
        <f t="shared" si="16"/>
        <v>24</v>
      </c>
      <c r="B100" s="16" t="s">
        <v>124</v>
      </c>
      <c r="C100" s="17" t="s">
        <v>45</v>
      </c>
      <c r="D100" s="18"/>
      <c r="E100" s="18"/>
      <c r="F100" s="18"/>
      <c r="G100" s="19"/>
      <c r="H100" s="18"/>
      <c r="I100" s="20"/>
      <c r="J100" s="18"/>
      <c r="K100" s="18"/>
      <c r="L100" s="18"/>
      <c r="M100" s="18"/>
      <c r="N100" s="18"/>
      <c r="O100" s="105">
        <f t="shared" si="14"/>
        <v>0</v>
      </c>
      <c r="P100" s="106">
        <f>+VLOOKUP(B100,'[157]m codes'!$A:$B,2,0)</f>
        <v>200032248</v>
      </c>
      <c r="Q100" s="43">
        <f t="shared" si="15"/>
        <v>0</v>
      </c>
      <c r="R100" s="106"/>
    </row>
    <row r="101" spans="1:18" s="42" customFormat="1" ht="26.25" hidden="1" customHeight="1" x14ac:dyDescent="0.2">
      <c r="A101" s="15">
        <f t="shared" si="16"/>
        <v>25</v>
      </c>
      <c r="B101" s="16" t="s">
        <v>125</v>
      </c>
      <c r="C101" s="17" t="s">
        <v>45</v>
      </c>
      <c r="D101" s="18"/>
      <c r="E101" s="18"/>
      <c r="F101" s="18"/>
      <c r="G101" s="19"/>
      <c r="H101" s="18"/>
      <c r="I101" s="20">
        <v>4474</v>
      </c>
      <c r="J101" s="18"/>
      <c r="K101" s="18"/>
      <c r="L101" s="18"/>
      <c r="M101" s="18"/>
      <c r="N101" s="18"/>
      <c r="O101" s="105">
        <f t="shared" si="14"/>
        <v>0</v>
      </c>
      <c r="P101" s="106">
        <f>+VLOOKUP(B101,'[157]m codes'!$A:$B,2,0)</f>
        <v>200030325</v>
      </c>
      <c r="Q101" s="43">
        <f t="shared" si="15"/>
        <v>0</v>
      </c>
      <c r="R101" s="106"/>
    </row>
    <row r="102" spans="1:18" s="42" customFormat="1" ht="26.25" hidden="1" customHeight="1" x14ac:dyDescent="0.2">
      <c r="A102" s="15">
        <f t="shared" si="16"/>
        <v>26</v>
      </c>
      <c r="B102" s="16" t="s">
        <v>126</v>
      </c>
      <c r="C102" s="17" t="s">
        <v>45</v>
      </c>
      <c r="D102" s="18"/>
      <c r="E102" s="18"/>
      <c r="F102" s="18"/>
      <c r="G102" s="19"/>
      <c r="H102" s="18"/>
      <c r="I102" s="20"/>
      <c r="J102" s="18"/>
      <c r="K102" s="18"/>
      <c r="L102" s="18"/>
      <c r="M102" s="18"/>
      <c r="N102" s="18"/>
      <c r="O102" s="105">
        <f t="shared" si="14"/>
        <v>0</v>
      </c>
      <c r="P102" s="106">
        <f>+VLOOKUP(B102,'[157]m codes'!$A:$B,2,0)</f>
        <v>200030328</v>
      </c>
      <c r="Q102" s="43">
        <f t="shared" si="15"/>
        <v>0</v>
      </c>
      <c r="R102" s="106"/>
    </row>
    <row r="103" spans="1:18" s="42" customFormat="1" ht="26.25" hidden="1" customHeight="1" x14ac:dyDescent="0.2">
      <c r="A103" s="15">
        <f t="shared" si="16"/>
        <v>27</v>
      </c>
      <c r="B103" s="16" t="s">
        <v>127</v>
      </c>
      <c r="C103" s="17" t="s">
        <v>45</v>
      </c>
      <c r="D103" s="18"/>
      <c r="E103" s="18"/>
      <c r="F103" s="18"/>
      <c r="G103" s="19"/>
      <c r="H103" s="18"/>
      <c r="I103" s="20"/>
      <c r="J103" s="18"/>
      <c r="K103" s="18"/>
      <c r="L103" s="18"/>
      <c r="M103" s="18"/>
      <c r="N103" s="18"/>
      <c r="O103" s="105">
        <f t="shared" si="14"/>
        <v>0</v>
      </c>
      <c r="P103" s="106">
        <f>+VLOOKUP(B103,'[157]m codes'!$A:$B,2,0)</f>
        <v>200030327</v>
      </c>
      <c r="Q103" s="43">
        <f t="shared" si="15"/>
        <v>0</v>
      </c>
      <c r="R103" s="106"/>
    </row>
    <row r="104" spans="1:18" s="42" customFormat="1" ht="26.25" hidden="1" customHeight="1" x14ac:dyDescent="0.2">
      <c r="A104" s="15">
        <f t="shared" si="16"/>
        <v>28</v>
      </c>
      <c r="B104" s="16" t="s">
        <v>128</v>
      </c>
      <c r="C104" s="17" t="s">
        <v>45</v>
      </c>
      <c r="D104" s="18"/>
      <c r="E104" s="18"/>
      <c r="F104" s="18"/>
      <c r="G104" s="19"/>
      <c r="H104" s="18"/>
      <c r="I104" s="20">
        <v>4474</v>
      </c>
      <c r="J104" s="18"/>
      <c r="K104" s="18"/>
      <c r="L104" s="18"/>
      <c r="M104" s="18"/>
      <c r="N104" s="18"/>
      <c r="O104" s="105">
        <f t="shared" si="14"/>
        <v>0</v>
      </c>
      <c r="P104" s="106">
        <f>+VLOOKUP(B104,'[157]m codes'!$A:$B,2,0)</f>
        <v>200034192</v>
      </c>
      <c r="Q104" s="43">
        <f t="shared" si="15"/>
        <v>0</v>
      </c>
      <c r="R104" s="106"/>
    </row>
    <row r="105" spans="1:18" s="50" customFormat="1" ht="26.25" hidden="1" customHeight="1" x14ac:dyDescent="0.25">
      <c r="A105" s="44"/>
      <c r="B105" s="45" t="s">
        <v>98</v>
      </c>
      <c r="C105" s="45"/>
      <c r="D105" s="46"/>
      <c r="E105" s="46"/>
      <c r="F105" s="46"/>
      <c r="G105" s="47"/>
      <c r="H105" s="46"/>
      <c r="I105" s="48"/>
      <c r="J105" s="49"/>
      <c r="K105" s="49"/>
      <c r="L105" s="49"/>
      <c r="M105" s="49"/>
      <c r="N105" s="49"/>
      <c r="O105" s="45"/>
      <c r="P105" s="108"/>
      <c r="Q105" s="51"/>
      <c r="R105" s="108"/>
    </row>
    <row r="106" spans="1:18" ht="26.25" hidden="1" customHeight="1" x14ac:dyDescent="0.25">
      <c r="A106" s="56" t="s">
        <v>129</v>
      </c>
      <c r="B106" s="57" t="s">
        <v>130</v>
      </c>
      <c r="C106" s="57"/>
      <c r="D106" s="58"/>
      <c r="E106" s="58"/>
      <c r="F106" s="58"/>
      <c r="G106" s="53"/>
      <c r="H106" s="66"/>
      <c r="I106" s="67"/>
      <c r="J106" s="60"/>
      <c r="K106" s="60"/>
      <c r="L106" s="60"/>
      <c r="M106" s="60"/>
      <c r="N106" s="60"/>
      <c r="O106" s="113"/>
      <c r="P106" s="114"/>
      <c r="Q106" s="41"/>
      <c r="R106" s="114"/>
    </row>
    <row r="107" spans="1:18" s="42" customFormat="1" ht="26.25" hidden="1" customHeight="1" x14ac:dyDescent="0.2">
      <c r="A107" s="15">
        <v>1</v>
      </c>
      <c r="B107" s="16" t="s">
        <v>131</v>
      </c>
      <c r="C107" s="17" t="s">
        <v>45</v>
      </c>
      <c r="D107" s="18"/>
      <c r="E107" s="18"/>
      <c r="F107" s="18"/>
      <c r="G107" s="19"/>
      <c r="H107" s="18"/>
      <c r="I107" s="20">
        <v>4474</v>
      </c>
      <c r="J107" s="18"/>
      <c r="K107" s="18"/>
      <c r="L107" s="18"/>
      <c r="M107" s="18"/>
      <c r="N107" s="18"/>
      <c r="O107" s="105">
        <f t="shared" ref="O107:O114" si="17">SUM(K107:N107)</f>
        <v>0</v>
      </c>
      <c r="P107" s="106">
        <f>+VLOOKUP(B107,'[157]m codes'!$A:$B,2,0)</f>
        <v>200032193</v>
      </c>
      <c r="Q107" s="43">
        <f t="shared" ref="Q107:Q114" si="18">+O107-F107</f>
        <v>0</v>
      </c>
      <c r="R107" s="106"/>
    </row>
    <row r="108" spans="1:18" s="42" customFormat="1" ht="26.25" hidden="1" customHeight="1" x14ac:dyDescent="0.2">
      <c r="A108" s="15">
        <f>+A107+1</f>
        <v>2</v>
      </c>
      <c r="B108" s="16" t="s">
        <v>132</v>
      </c>
      <c r="C108" s="17" t="s">
        <v>45</v>
      </c>
      <c r="D108" s="18"/>
      <c r="E108" s="18"/>
      <c r="F108" s="18"/>
      <c r="G108" s="19"/>
      <c r="H108" s="18"/>
      <c r="I108" s="20"/>
      <c r="J108" s="18"/>
      <c r="K108" s="18"/>
      <c r="L108" s="18"/>
      <c r="M108" s="18"/>
      <c r="N108" s="18"/>
      <c r="O108" s="105">
        <f t="shared" si="17"/>
        <v>0</v>
      </c>
      <c r="P108" s="106">
        <f>+VLOOKUP(B108,'[157]m codes'!$A:$B,2,0)</f>
        <v>200032195</v>
      </c>
      <c r="Q108" s="43">
        <f t="shared" si="18"/>
        <v>0</v>
      </c>
      <c r="R108" s="106"/>
    </row>
    <row r="109" spans="1:18" s="42" customFormat="1" ht="26.25" hidden="1" customHeight="1" x14ac:dyDescent="0.2">
      <c r="A109" s="15">
        <f t="shared" ref="A109:A114" si="19">+A108+1</f>
        <v>3</v>
      </c>
      <c r="B109" s="16" t="s">
        <v>133</v>
      </c>
      <c r="C109" s="17" t="s">
        <v>45</v>
      </c>
      <c r="D109" s="18"/>
      <c r="E109" s="18"/>
      <c r="F109" s="18"/>
      <c r="G109" s="19"/>
      <c r="H109" s="18"/>
      <c r="I109" s="20"/>
      <c r="J109" s="18"/>
      <c r="K109" s="18"/>
      <c r="L109" s="18"/>
      <c r="M109" s="18"/>
      <c r="N109" s="18"/>
      <c r="O109" s="105">
        <f t="shared" si="17"/>
        <v>0</v>
      </c>
      <c r="P109" s="106">
        <f>+VLOOKUP(B109,'[157]m codes'!$A:$B,2,0)</f>
        <v>200032196</v>
      </c>
      <c r="Q109" s="43">
        <f t="shared" si="18"/>
        <v>0</v>
      </c>
      <c r="R109" s="106"/>
    </row>
    <row r="110" spans="1:18" s="42" customFormat="1" ht="26.25" hidden="1" customHeight="1" x14ac:dyDescent="0.2">
      <c r="A110" s="15">
        <f t="shared" si="19"/>
        <v>4</v>
      </c>
      <c r="B110" s="16" t="s">
        <v>134</v>
      </c>
      <c r="C110" s="17" t="s">
        <v>45</v>
      </c>
      <c r="D110" s="18"/>
      <c r="E110" s="18"/>
      <c r="F110" s="18"/>
      <c r="G110" s="19"/>
      <c r="H110" s="18"/>
      <c r="I110" s="20">
        <v>4474</v>
      </c>
      <c r="J110" s="18"/>
      <c r="K110" s="18"/>
      <c r="L110" s="18"/>
      <c r="M110" s="18"/>
      <c r="N110" s="18"/>
      <c r="O110" s="105">
        <f t="shared" si="17"/>
        <v>0</v>
      </c>
      <c r="P110" s="106">
        <f>+VLOOKUP(B110,'[157]m codes'!$A:$B,2,0)</f>
        <v>200032194</v>
      </c>
      <c r="Q110" s="43">
        <f t="shared" si="18"/>
        <v>0</v>
      </c>
      <c r="R110" s="106"/>
    </row>
    <row r="111" spans="1:18" s="42" customFormat="1" ht="26.25" hidden="1" customHeight="1" x14ac:dyDescent="0.2">
      <c r="A111" s="15">
        <f t="shared" si="19"/>
        <v>5</v>
      </c>
      <c r="B111" s="16" t="s">
        <v>135</v>
      </c>
      <c r="C111" s="17" t="s">
        <v>45</v>
      </c>
      <c r="D111" s="18"/>
      <c r="E111" s="18"/>
      <c r="F111" s="18"/>
      <c r="G111" s="19"/>
      <c r="H111" s="18"/>
      <c r="I111" s="20"/>
      <c r="J111" s="18"/>
      <c r="K111" s="18"/>
      <c r="L111" s="18"/>
      <c r="M111" s="18"/>
      <c r="N111" s="18"/>
      <c r="O111" s="105">
        <f t="shared" si="17"/>
        <v>0</v>
      </c>
      <c r="P111" s="106">
        <f>+VLOOKUP(B111,'[157]m codes'!$A:$B,2,0)</f>
        <v>200030270</v>
      </c>
      <c r="Q111" s="43">
        <f t="shared" si="18"/>
        <v>0</v>
      </c>
      <c r="R111" s="106"/>
    </row>
    <row r="112" spans="1:18" s="42" customFormat="1" ht="26.25" hidden="1" customHeight="1" x14ac:dyDescent="0.2">
      <c r="A112" s="15">
        <f t="shared" si="19"/>
        <v>6</v>
      </c>
      <c r="B112" s="16" t="s">
        <v>136</v>
      </c>
      <c r="C112" s="17" t="s">
        <v>45</v>
      </c>
      <c r="D112" s="18"/>
      <c r="E112" s="18"/>
      <c r="F112" s="18"/>
      <c r="G112" s="19"/>
      <c r="H112" s="18"/>
      <c r="I112" s="20"/>
      <c r="J112" s="18"/>
      <c r="K112" s="18"/>
      <c r="L112" s="18"/>
      <c r="M112" s="18"/>
      <c r="N112" s="18"/>
      <c r="O112" s="105">
        <f t="shared" si="17"/>
        <v>0</v>
      </c>
      <c r="P112" s="106">
        <f>+VLOOKUP(B112,'[157]m codes'!$A:$B,2,0)</f>
        <v>200032197</v>
      </c>
      <c r="Q112" s="43">
        <f t="shared" si="18"/>
        <v>0</v>
      </c>
      <c r="R112" s="106"/>
    </row>
    <row r="113" spans="1:18" s="42" customFormat="1" ht="26.25" hidden="1" customHeight="1" x14ac:dyDescent="0.2">
      <c r="A113" s="15">
        <f t="shared" si="19"/>
        <v>7</v>
      </c>
      <c r="B113" s="16" t="s">
        <v>137</v>
      </c>
      <c r="C113" s="17" t="s">
        <v>45</v>
      </c>
      <c r="D113" s="18"/>
      <c r="E113" s="18"/>
      <c r="F113" s="18"/>
      <c r="G113" s="19"/>
      <c r="H113" s="18"/>
      <c r="I113" s="20">
        <v>4474</v>
      </c>
      <c r="J113" s="18"/>
      <c r="K113" s="18"/>
      <c r="L113" s="18"/>
      <c r="M113" s="18"/>
      <c r="N113" s="18"/>
      <c r="O113" s="105">
        <f t="shared" si="17"/>
        <v>0</v>
      </c>
      <c r="P113" s="106">
        <f>+VLOOKUP(B113,'[157]m codes'!$A:$B,2,0)</f>
        <v>200030275</v>
      </c>
      <c r="Q113" s="43">
        <f t="shared" si="18"/>
        <v>0</v>
      </c>
      <c r="R113" s="106"/>
    </row>
    <row r="114" spans="1:18" s="42" customFormat="1" ht="26.25" hidden="1" customHeight="1" x14ac:dyDescent="0.2">
      <c r="A114" s="15">
        <f t="shared" si="19"/>
        <v>8</v>
      </c>
      <c r="B114" s="16" t="s">
        <v>138</v>
      </c>
      <c r="C114" s="17" t="s">
        <v>45</v>
      </c>
      <c r="D114" s="18"/>
      <c r="E114" s="18"/>
      <c r="F114" s="18"/>
      <c r="G114" s="19"/>
      <c r="H114" s="18"/>
      <c r="I114" s="20"/>
      <c r="J114" s="18"/>
      <c r="K114" s="18"/>
      <c r="L114" s="18"/>
      <c r="M114" s="18"/>
      <c r="N114" s="18"/>
      <c r="O114" s="105">
        <f t="shared" si="17"/>
        <v>0</v>
      </c>
      <c r="P114" s="106">
        <f>+VLOOKUP(B114,'[157]m codes'!$A:$B,2,0)</f>
        <v>200030276</v>
      </c>
      <c r="Q114" s="43">
        <f t="shared" si="18"/>
        <v>0</v>
      </c>
      <c r="R114" s="106"/>
    </row>
    <row r="115" spans="1:18" s="50" customFormat="1" ht="26.25" hidden="1" customHeight="1" x14ac:dyDescent="0.25">
      <c r="A115" s="44"/>
      <c r="B115" s="45" t="s">
        <v>98</v>
      </c>
      <c r="C115" s="45"/>
      <c r="D115" s="46"/>
      <c r="E115" s="46"/>
      <c r="F115" s="46"/>
      <c r="G115" s="47"/>
      <c r="H115" s="46"/>
      <c r="I115" s="48"/>
      <c r="J115" s="49"/>
      <c r="K115" s="49"/>
      <c r="L115" s="49"/>
      <c r="M115" s="49"/>
      <c r="N115" s="49"/>
      <c r="O115" s="45"/>
      <c r="P115" s="108"/>
      <c r="Q115" s="51"/>
      <c r="R115" s="108"/>
    </row>
    <row r="116" spans="1:18" ht="26.25" hidden="1" customHeight="1" x14ac:dyDescent="0.25">
      <c r="A116" s="56" t="s">
        <v>139</v>
      </c>
      <c r="B116" s="57" t="s">
        <v>140</v>
      </c>
      <c r="C116" s="57"/>
      <c r="D116" s="58"/>
      <c r="E116" s="58"/>
      <c r="F116" s="58"/>
      <c r="G116" s="53"/>
      <c r="H116" s="58"/>
      <c r="I116" s="59"/>
      <c r="J116" s="60"/>
      <c r="K116" s="60"/>
      <c r="L116" s="60"/>
      <c r="M116" s="60"/>
      <c r="N116" s="60"/>
      <c r="O116" s="113"/>
      <c r="P116" s="114"/>
      <c r="Q116" s="41"/>
      <c r="R116" s="114"/>
    </row>
    <row r="117" spans="1:18" s="42" customFormat="1" ht="26.25" hidden="1" customHeight="1" x14ac:dyDescent="0.2">
      <c r="A117" s="15">
        <v>1</v>
      </c>
      <c r="B117" s="16" t="s">
        <v>141</v>
      </c>
      <c r="C117" s="17" t="s">
        <v>45</v>
      </c>
      <c r="D117" s="18"/>
      <c r="E117" s="18"/>
      <c r="F117" s="18"/>
      <c r="G117" s="19"/>
      <c r="H117" s="18"/>
      <c r="I117" s="20">
        <v>4474</v>
      </c>
      <c r="J117" s="18"/>
      <c r="K117" s="18"/>
      <c r="L117" s="18"/>
      <c r="M117" s="18"/>
      <c r="N117" s="18"/>
      <c r="O117" s="105">
        <f t="shared" ref="O117:O123" si="20">SUM(K117:N117)</f>
        <v>0</v>
      </c>
      <c r="P117" s="106">
        <f>+VLOOKUP(B117,'[157]m codes'!$A:$B,2,0)</f>
        <v>200030266</v>
      </c>
      <c r="Q117" s="43">
        <f t="shared" ref="Q117:Q123" si="21">+O117-F117</f>
        <v>0</v>
      </c>
      <c r="R117" s="106"/>
    </row>
    <row r="118" spans="1:18" s="42" customFormat="1" ht="26.25" hidden="1" customHeight="1" x14ac:dyDescent="0.2">
      <c r="A118" s="15">
        <f>+A117+1</f>
        <v>2</v>
      </c>
      <c r="B118" s="16" t="s">
        <v>142</v>
      </c>
      <c r="C118" s="17" t="s">
        <v>45</v>
      </c>
      <c r="D118" s="18"/>
      <c r="E118" s="18"/>
      <c r="F118" s="18"/>
      <c r="G118" s="19"/>
      <c r="H118" s="18"/>
      <c r="I118" s="20"/>
      <c r="J118" s="18"/>
      <c r="K118" s="18"/>
      <c r="L118" s="18"/>
      <c r="M118" s="18"/>
      <c r="N118" s="18"/>
      <c r="O118" s="105">
        <f t="shared" si="20"/>
        <v>0</v>
      </c>
      <c r="P118" s="106">
        <f>+VLOOKUP(B118,'[157]m codes'!$A:$B,2,0)</f>
        <v>200030267</v>
      </c>
      <c r="Q118" s="43">
        <f t="shared" si="21"/>
        <v>0</v>
      </c>
      <c r="R118" s="106"/>
    </row>
    <row r="119" spans="1:18" s="42" customFormat="1" ht="26.25" hidden="1" customHeight="1" x14ac:dyDescent="0.2">
      <c r="A119" s="15">
        <f t="shared" ref="A119:A123" si="22">+A118+1</f>
        <v>3</v>
      </c>
      <c r="B119" s="16" t="s">
        <v>143</v>
      </c>
      <c r="C119" s="17" t="s">
        <v>45</v>
      </c>
      <c r="D119" s="18"/>
      <c r="E119" s="18"/>
      <c r="F119" s="18"/>
      <c r="G119" s="19"/>
      <c r="H119" s="18"/>
      <c r="I119" s="20"/>
      <c r="J119" s="18"/>
      <c r="K119" s="18"/>
      <c r="L119" s="18"/>
      <c r="M119" s="18"/>
      <c r="N119" s="18"/>
      <c r="O119" s="105">
        <f t="shared" si="20"/>
        <v>0</v>
      </c>
      <c r="P119" s="106">
        <f>+VLOOKUP(B119,'[157]m codes'!$A:$B,2,0)</f>
        <v>200030268</v>
      </c>
      <c r="Q119" s="43">
        <f t="shared" si="21"/>
        <v>0</v>
      </c>
      <c r="R119" s="106"/>
    </row>
    <row r="120" spans="1:18" s="42" customFormat="1" ht="26.25" hidden="1" customHeight="1" x14ac:dyDescent="0.2">
      <c r="A120" s="15">
        <f t="shared" si="22"/>
        <v>4</v>
      </c>
      <c r="B120" s="16" t="s">
        <v>144</v>
      </c>
      <c r="C120" s="17" t="s">
        <v>45</v>
      </c>
      <c r="D120" s="18"/>
      <c r="E120" s="18"/>
      <c r="F120" s="18"/>
      <c r="G120" s="19"/>
      <c r="H120" s="18"/>
      <c r="I120" s="20">
        <v>4474</v>
      </c>
      <c r="J120" s="18"/>
      <c r="K120" s="18"/>
      <c r="L120" s="18"/>
      <c r="M120" s="18"/>
      <c r="N120" s="18"/>
      <c r="O120" s="105">
        <f t="shared" si="20"/>
        <v>0</v>
      </c>
      <c r="P120" s="106">
        <f>+VLOOKUP(B120,'[157]m codes'!$A:$B,2,0)</f>
        <v>200030269</v>
      </c>
      <c r="Q120" s="43">
        <f t="shared" si="21"/>
        <v>0</v>
      </c>
      <c r="R120" s="106"/>
    </row>
    <row r="121" spans="1:18" s="42" customFormat="1" ht="26.25" hidden="1" customHeight="1" x14ac:dyDescent="0.2">
      <c r="A121" s="15">
        <f t="shared" si="22"/>
        <v>5</v>
      </c>
      <c r="B121" s="16" t="s">
        <v>145</v>
      </c>
      <c r="C121" s="17" t="s">
        <v>45</v>
      </c>
      <c r="D121" s="18"/>
      <c r="E121" s="18"/>
      <c r="F121" s="18"/>
      <c r="G121" s="19"/>
      <c r="H121" s="18"/>
      <c r="I121" s="20"/>
      <c r="J121" s="18"/>
      <c r="K121" s="18"/>
      <c r="L121" s="18"/>
      <c r="M121" s="18"/>
      <c r="N121" s="18"/>
      <c r="O121" s="105">
        <f t="shared" si="20"/>
        <v>0</v>
      </c>
      <c r="P121" s="106">
        <f>+VLOOKUP(B121,'[157]m codes'!$A:$B,2,0)</f>
        <v>200030271</v>
      </c>
      <c r="Q121" s="43">
        <f t="shared" si="21"/>
        <v>0</v>
      </c>
      <c r="R121" s="106"/>
    </row>
    <row r="122" spans="1:18" s="42" customFormat="1" ht="26.25" hidden="1" customHeight="1" x14ac:dyDescent="0.2">
      <c r="A122" s="15">
        <f t="shared" si="22"/>
        <v>6</v>
      </c>
      <c r="B122" s="16" t="s">
        <v>146</v>
      </c>
      <c r="C122" s="17" t="s">
        <v>45</v>
      </c>
      <c r="D122" s="18"/>
      <c r="E122" s="18"/>
      <c r="F122" s="18"/>
      <c r="G122" s="19"/>
      <c r="H122" s="18"/>
      <c r="I122" s="20"/>
      <c r="J122" s="18"/>
      <c r="K122" s="18"/>
      <c r="L122" s="18"/>
      <c r="M122" s="18"/>
      <c r="N122" s="18"/>
      <c r="O122" s="105">
        <f t="shared" si="20"/>
        <v>0</v>
      </c>
      <c r="P122" s="106">
        <f>+VLOOKUP(B122,'[157]m codes'!$A:$B,2,0)</f>
        <v>200030272</v>
      </c>
      <c r="Q122" s="43">
        <f t="shared" si="21"/>
        <v>0</v>
      </c>
      <c r="R122" s="106"/>
    </row>
    <row r="123" spans="1:18" s="42" customFormat="1" ht="26.25" hidden="1" customHeight="1" x14ac:dyDescent="0.2">
      <c r="A123" s="15">
        <f t="shared" si="22"/>
        <v>7</v>
      </c>
      <c r="B123" s="16" t="s">
        <v>147</v>
      </c>
      <c r="C123" s="17" t="s">
        <v>45</v>
      </c>
      <c r="D123" s="18"/>
      <c r="E123" s="18"/>
      <c r="F123" s="18"/>
      <c r="G123" s="19"/>
      <c r="H123" s="18"/>
      <c r="I123" s="20">
        <v>4474</v>
      </c>
      <c r="J123" s="18"/>
      <c r="K123" s="18"/>
      <c r="L123" s="18"/>
      <c r="M123" s="18"/>
      <c r="N123" s="18"/>
      <c r="O123" s="105">
        <f t="shared" si="20"/>
        <v>0</v>
      </c>
      <c r="P123" s="106">
        <f>+VLOOKUP(B123,'[157]m codes'!$A:$B,2,0)</f>
        <v>200030274</v>
      </c>
      <c r="Q123" s="43">
        <f t="shared" si="21"/>
        <v>0</v>
      </c>
      <c r="R123" s="106"/>
    </row>
    <row r="124" spans="1:18" s="50" customFormat="1" ht="26.25" hidden="1" customHeight="1" x14ac:dyDescent="0.25">
      <c r="A124" s="44"/>
      <c r="B124" s="45" t="s">
        <v>98</v>
      </c>
      <c r="C124" s="45"/>
      <c r="D124" s="46"/>
      <c r="E124" s="46"/>
      <c r="F124" s="46"/>
      <c r="G124" s="47"/>
      <c r="H124" s="46"/>
      <c r="I124" s="48"/>
      <c r="J124" s="49"/>
      <c r="K124" s="49"/>
      <c r="L124" s="49"/>
      <c r="M124" s="49"/>
      <c r="N124" s="49"/>
      <c r="O124" s="45"/>
      <c r="P124" s="108"/>
      <c r="Q124" s="51"/>
      <c r="R124" s="108"/>
    </row>
    <row r="125" spans="1:18" ht="26.25" hidden="1" customHeight="1" x14ac:dyDescent="0.25">
      <c r="A125" s="56" t="s">
        <v>148</v>
      </c>
      <c r="B125" s="57" t="s">
        <v>149</v>
      </c>
      <c r="C125" s="57"/>
      <c r="D125" s="58"/>
      <c r="E125" s="58"/>
      <c r="F125" s="58"/>
      <c r="G125" s="53"/>
      <c r="H125" s="58"/>
      <c r="I125" s="59"/>
      <c r="J125" s="60"/>
      <c r="K125" s="60"/>
      <c r="L125" s="60"/>
      <c r="M125" s="60"/>
      <c r="N125" s="60"/>
      <c r="O125" s="113"/>
      <c r="P125" s="114"/>
      <c r="Q125" s="41"/>
      <c r="R125" s="114"/>
    </row>
    <row r="126" spans="1:18" s="69" customFormat="1" ht="26.25" hidden="1" customHeight="1" x14ac:dyDescent="0.2">
      <c r="A126" s="68">
        <v>1</v>
      </c>
      <c r="B126" s="16" t="s">
        <v>150</v>
      </c>
      <c r="C126" s="17" t="s">
        <v>45</v>
      </c>
      <c r="D126" s="18"/>
      <c r="E126" s="18"/>
      <c r="F126" s="18"/>
      <c r="G126" s="19"/>
      <c r="H126" s="18"/>
      <c r="I126" s="20">
        <v>4474</v>
      </c>
      <c r="J126" s="18"/>
      <c r="K126" s="18"/>
      <c r="L126" s="18"/>
      <c r="M126" s="18"/>
      <c r="N126" s="18"/>
      <c r="O126" s="17">
        <f>SUM(K126:N126)</f>
        <v>0</v>
      </c>
      <c r="P126" s="115">
        <f>+VLOOKUP(B126,'[157]m codes'!$A:$B,2,0)</f>
        <v>200030277</v>
      </c>
      <c r="Q126" s="43">
        <f>+O126-F126</f>
        <v>0</v>
      </c>
      <c r="R126" s="115"/>
    </row>
    <row r="127" spans="1:18" s="42" customFormat="1" ht="26.25" hidden="1" customHeight="1" x14ac:dyDescent="0.2">
      <c r="A127" s="15">
        <f>+A126+1</f>
        <v>2</v>
      </c>
      <c r="B127" s="16" t="s">
        <v>151</v>
      </c>
      <c r="C127" s="17" t="s">
        <v>45</v>
      </c>
      <c r="D127" s="18"/>
      <c r="E127" s="18"/>
      <c r="F127" s="18"/>
      <c r="G127" s="19"/>
      <c r="H127" s="18"/>
      <c r="I127" s="20"/>
      <c r="J127" s="18"/>
      <c r="K127" s="18"/>
      <c r="L127" s="18"/>
      <c r="M127" s="18"/>
      <c r="N127" s="18"/>
      <c r="O127" s="105">
        <f>SUM(K127:N127)</f>
        <v>0</v>
      </c>
      <c r="P127" s="106">
        <f>+VLOOKUP(B127,'[157]m codes'!$A:$B,2,0)</f>
        <v>200030278</v>
      </c>
      <c r="Q127" s="43">
        <f>+O127-F127</f>
        <v>0</v>
      </c>
      <c r="R127" s="106"/>
    </row>
    <row r="128" spans="1:18" s="42" customFormat="1" ht="26.25" hidden="1" customHeight="1" x14ac:dyDescent="0.2">
      <c r="A128" s="15">
        <f t="shared" ref="A128:A130" si="23">+A127+1</f>
        <v>3</v>
      </c>
      <c r="B128" s="16" t="s">
        <v>152</v>
      </c>
      <c r="C128" s="17" t="s">
        <v>45</v>
      </c>
      <c r="D128" s="18"/>
      <c r="E128" s="18"/>
      <c r="F128" s="18"/>
      <c r="G128" s="19"/>
      <c r="H128" s="18"/>
      <c r="I128" s="20"/>
      <c r="J128" s="18"/>
      <c r="K128" s="18"/>
      <c r="L128" s="18"/>
      <c r="M128" s="18"/>
      <c r="N128" s="18"/>
      <c r="O128" s="105">
        <f>SUM(K128:N128)</f>
        <v>0</v>
      </c>
      <c r="P128" s="106">
        <f>+VLOOKUP(B128,'[157]m codes'!$A:$B,2,0)</f>
        <v>200030279</v>
      </c>
      <c r="Q128" s="43">
        <f>+O128-F128</f>
        <v>0</v>
      </c>
      <c r="R128" s="106"/>
    </row>
    <row r="129" spans="1:18" s="42" customFormat="1" ht="26.25" hidden="1" customHeight="1" x14ac:dyDescent="0.2">
      <c r="A129" s="15">
        <f t="shared" si="23"/>
        <v>4</v>
      </c>
      <c r="B129" s="16" t="s">
        <v>153</v>
      </c>
      <c r="C129" s="17" t="s">
        <v>45</v>
      </c>
      <c r="D129" s="18"/>
      <c r="E129" s="18"/>
      <c r="F129" s="18"/>
      <c r="G129" s="19"/>
      <c r="H129" s="18"/>
      <c r="I129" s="20">
        <v>4474</v>
      </c>
      <c r="J129" s="18"/>
      <c r="K129" s="18"/>
      <c r="L129" s="18"/>
      <c r="M129" s="18"/>
      <c r="N129" s="18"/>
      <c r="O129" s="105">
        <f>SUM(K129:N129)</f>
        <v>0</v>
      </c>
      <c r="P129" s="106">
        <f>+VLOOKUP(B129,'[157]m codes'!$A:$B,2,0)</f>
        <v>200030280</v>
      </c>
      <c r="Q129" s="43">
        <f>+O129-F129</f>
        <v>0</v>
      </c>
      <c r="R129" s="106"/>
    </row>
    <row r="130" spans="1:18" s="42" customFormat="1" ht="26.25" hidden="1" customHeight="1" x14ac:dyDescent="0.2">
      <c r="A130" s="15">
        <f t="shared" si="23"/>
        <v>5</v>
      </c>
      <c r="B130" s="16" t="s">
        <v>154</v>
      </c>
      <c r="C130" s="17" t="s">
        <v>45</v>
      </c>
      <c r="D130" s="18"/>
      <c r="E130" s="18"/>
      <c r="F130" s="18"/>
      <c r="G130" s="19"/>
      <c r="H130" s="18"/>
      <c r="I130" s="20"/>
      <c r="J130" s="18"/>
      <c r="K130" s="18"/>
      <c r="L130" s="18"/>
      <c r="M130" s="18"/>
      <c r="N130" s="18"/>
      <c r="O130" s="105">
        <f>SUM(K130:N130)</f>
        <v>0</v>
      </c>
      <c r="P130" s="106">
        <f>+VLOOKUP(B130,'[157]m codes'!$A:$B,2,0)</f>
        <v>200030282</v>
      </c>
      <c r="Q130" s="43">
        <f>+O130-F130</f>
        <v>0</v>
      </c>
      <c r="R130" s="106"/>
    </row>
    <row r="131" spans="1:18" s="50" customFormat="1" ht="26.25" hidden="1" customHeight="1" x14ac:dyDescent="0.25">
      <c r="A131" s="44"/>
      <c r="B131" s="45" t="s">
        <v>98</v>
      </c>
      <c r="C131" s="45"/>
      <c r="D131" s="46"/>
      <c r="E131" s="46"/>
      <c r="F131" s="46"/>
      <c r="G131" s="47"/>
      <c r="H131" s="46"/>
      <c r="I131" s="48"/>
      <c r="J131" s="49"/>
      <c r="K131" s="49"/>
      <c r="L131" s="49"/>
      <c r="M131" s="49"/>
      <c r="N131" s="49"/>
      <c r="O131" s="45"/>
      <c r="P131" s="108"/>
      <c r="Q131" s="51"/>
      <c r="R131" s="108"/>
    </row>
    <row r="132" spans="1:18" s="40" customFormat="1" ht="26.25" hidden="1" customHeight="1" x14ac:dyDescent="0.2">
      <c r="A132" s="10">
        <v>1</v>
      </c>
      <c r="B132" s="11" t="s">
        <v>34</v>
      </c>
      <c r="C132" s="11"/>
      <c r="D132" s="12"/>
      <c r="E132" s="12"/>
      <c r="F132" s="12"/>
      <c r="G132" s="13"/>
      <c r="H132" s="12"/>
      <c r="I132" s="12"/>
      <c r="J132" s="12"/>
      <c r="K132" s="12"/>
      <c r="L132" s="12"/>
      <c r="M132" s="12"/>
      <c r="N132" s="12"/>
      <c r="O132" s="10"/>
      <c r="P132" s="104"/>
      <c r="Q132" s="70"/>
      <c r="R132" s="104"/>
    </row>
    <row r="133" spans="1:18" s="64" customFormat="1" ht="26.25" hidden="1" customHeight="1" x14ac:dyDescent="0.2">
      <c r="A133" s="62">
        <v>1</v>
      </c>
      <c r="B133" s="63" t="s">
        <v>155</v>
      </c>
      <c r="C133" s="17" t="s">
        <v>24</v>
      </c>
      <c r="D133" s="18"/>
      <c r="E133" s="18"/>
      <c r="F133" s="18"/>
      <c r="G133" s="19"/>
      <c r="H133" s="18"/>
      <c r="I133" s="20">
        <v>4474</v>
      </c>
      <c r="J133" s="18"/>
      <c r="K133" s="18">
        <f>+K3</f>
        <v>0</v>
      </c>
      <c r="L133" s="18">
        <f>+L3</f>
        <v>0</v>
      </c>
      <c r="M133" s="18"/>
      <c r="N133" s="18"/>
      <c r="O133" s="17">
        <f t="shared" ref="O133:O154" si="24">SUM(K133:N133)</f>
        <v>0</v>
      </c>
      <c r="P133" s="112">
        <f>+VLOOKUP(B133,'[157]m codes'!$A:$B,2,0)</f>
        <v>1200000409</v>
      </c>
      <c r="Q133" s="18">
        <f t="shared" ref="Q133:Q154" si="25">+O133-F133</f>
        <v>0</v>
      </c>
      <c r="R133" s="112"/>
    </row>
    <row r="134" spans="1:18" s="42" customFormat="1" ht="26.25" hidden="1" customHeight="1" x14ac:dyDescent="0.2">
      <c r="A134" s="15">
        <f>+A133+1</f>
        <v>2</v>
      </c>
      <c r="B134" s="16" t="s">
        <v>156</v>
      </c>
      <c r="C134" s="17" t="s">
        <v>24</v>
      </c>
      <c r="D134" s="18"/>
      <c r="E134" s="18"/>
      <c r="F134" s="18"/>
      <c r="G134" s="19"/>
      <c r="H134" s="18"/>
      <c r="I134" s="20"/>
      <c r="J134" s="18"/>
      <c r="K134" s="18">
        <f>+K3*5</f>
        <v>0</v>
      </c>
      <c r="L134" s="18">
        <f>+L3*5</f>
        <v>0</v>
      </c>
      <c r="M134" s="18"/>
      <c r="N134" s="18"/>
      <c r="O134" s="105">
        <f t="shared" si="24"/>
        <v>0</v>
      </c>
      <c r="P134" s="106">
        <f>+VLOOKUP(B134,'[157]m codes'!$A:$B,2,0)</f>
        <v>1200000408</v>
      </c>
      <c r="Q134" s="43">
        <f t="shared" si="25"/>
        <v>0</v>
      </c>
      <c r="R134" s="106"/>
    </row>
    <row r="135" spans="1:18" s="42" customFormat="1" ht="26.25" hidden="1" customHeight="1" x14ac:dyDescent="0.2">
      <c r="A135" s="15">
        <f t="shared" ref="A135:A154" si="26">+A134+1</f>
        <v>3</v>
      </c>
      <c r="B135" s="16" t="s">
        <v>157</v>
      </c>
      <c r="C135" s="17" t="s">
        <v>45</v>
      </c>
      <c r="D135" s="18"/>
      <c r="E135" s="18"/>
      <c r="F135" s="18"/>
      <c r="G135" s="19"/>
      <c r="H135" s="18"/>
      <c r="I135" s="20">
        <v>4474</v>
      </c>
      <c r="J135" s="18"/>
      <c r="K135" s="18">
        <f>+K3</f>
        <v>0</v>
      </c>
      <c r="L135" s="18">
        <f>+L3</f>
        <v>0</v>
      </c>
      <c r="M135" s="18"/>
      <c r="N135" s="18"/>
      <c r="O135" s="105">
        <f t="shared" si="24"/>
        <v>0</v>
      </c>
      <c r="P135" s="106">
        <f>+VLOOKUP(B135,'[157]m codes'!$A:$B,2,0)</f>
        <v>1200000231</v>
      </c>
      <c r="Q135" s="43">
        <f t="shared" si="25"/>
        <v>0</v>
      </c>
      <c r="R135" s="106"/>
    </row>
    <row r="136" spans="1:18" s="42" customFormat="1" ht="26.25" hidden="1" customHeight="1" x14ac:dyDescent="0.2">
      <c r="A136" s="15">
        <f t="shared" si="26"/>
        <v>4</v>
      </c>
      <c r="B136" s="16" t="s">
        <v>158</v>
      </c>
      <c r="C136" s="17" t="s">
        <v>45</v>
      </c>
      <c r="D136" s="18"/>
      <c r="E136" s="18"/>
      <c r="F136" s="18"/>
      <c r="G136" s="19"/>
      <c r="H136" s="18"/>
      <c r="I136" s="20"/>
      <c r="J136" s="18"/>
      <c r="K136" s="18">
        <f>+ROUND(K3*0.9,0)</f>
        <v>0</v>
      </c>
      <c r="L136" s="18"/>
      <c r="M136" s="18"/>
      <c r="N136" s="18"/>
      <c r="O136" s="105">
        <f t="shared" si="24"/>
        <v>0</v>
      </c>
      <c r="P136" s="106">
        <f>+VLOOKUP(B136,'[157]m codes'!$A:$B,2,0)</f>
        <v>1200000410</v>
      </c>
      <c r="Q136" s="43">
        <f t="shared" si="25"/>
        <v>0</v>
      </c>
      <c r="R136" s="106"/>
    </row>
    <row r="137" spans="1:18" s="42" customFormat="1" ht="26.25" hidden="1" customHeight="1" x14ac:dyDescent="0.2">
      <c r="A137" s="15">
        <f t="shared" si="26"/>
        <v>5</v>
      </c>
      <c r="B137" s="16" t="s">
        <v>159</v>
      </c>
      <c r="C137" s="17" t="s">
        <v>45</v>
      </c>
      <c r="D137" s="18"/>
      <c r="E137" s="18"/>
      <c r="F137" s="18"/>
      <c r="G137" s="19"/>
      <c r="H137" s="18"/>
      <c r="I137" s="20"/>
      <c r="J137" s="18"/>
      <c r="K137" s="18"/>
      <c r="L137" s="18"/>
      <c r="M137" s="18"/>
      <c r="N137" s="18"/>
      <c r="O137" s="105">
        <f t="shared" si="24"/>
        <v>0</v>
      </c>
      <c r="P137" s="106">
        <f>+VLOOKUP(B137,'[157]m codes'!$A:$B,2,0)</f>
        <v>1200000425</v>
      </c>
      <c r="Q137" s="43">
        <f t="shared" si="25"/>
        <v>0</v>
      </c>
      <c r="R137" s="106"/>
    </row>
    <row r="138" spans="1:18" s="42" customFormat="1" ht="26.25" hidden="1" customHeight="1" x14ac:dyDescent="0.2">
      <c r="A138" s="15">
        <f t="shared" si="26"/>
        <v>6</v>
      </c>
      <c r="B138" s="71" t="s">
        <v>160</v>
      </c>
      <c r="C138" s="17" t="s">
        <v>45</v>
      </c>
      <c r="D138" s="18"/>
      <c r="E138" s="18"/>
      <c r="F138" s="18"/>
      <c r="G138" s="19"/>
      <c r="H138" s="18"/>
      <c r="I138" s="20">
        <v>4474</v>
      </c>
      <c r="J138" s="18"/>
      <c r="K138" s="18"/>
      <c r="L138" s="18"/>
      <c r="M138" s="18"/>
      <c r="N138" s="18"/>
      <c r="O138" s="105">
        <f t="shared" si="24"/>
        <v>0</v>
      </c>
      <c r="P138" s="106">
        <f>+VLOOKUP(B138,'[157]m codes'!$A:$B,2,0)</f>
        <v>1200000411</v>
      </c>
      <c r="Q138" s="43">
        <f t="shared" si="25"/>
        <v>0</v>
      </c>
      <c r="R138" s="106"/>
    </row>
    <row r="139" spans="1:18" s="42" customFormat="1" ht="26.25" hidden="1" customHeight="1" x14ac:dyDescent="0.2">
      <c r="A139" s="15">
        <f t="shared" si="26"/>
        <v>7</v>
      </c>
      <c r="B139" s="71" t="s">
        <v>161</v>
      </c>
      <c r="C139" s="17" t="s">
        <v>45</v>
      </c>
      <c r="D139" s="18"/>
      <c r="E139" s="18"/>
      <c r="F139" s="18"/>
      <c r="G139" s="19"/>
      <c r="H139" s="18"/>
      <c r="I139" s="20"/>
      <c r="J139" s="18"/>
      <c r="K139" s="18"/>
      <c r="L139" s="18"/>
      <c r="M139" s="18"/>
      <c r="N139" s="18"/>
      <c r="O139" s="105">
        <f t="shared" si="24"/>
        <v>0</v>
      </c>
      <c r="P139" s="106">
        <f>+VLOOKUP(B139,'[157]m codes'!$A:$B,2,0)</f>
        <v>900008156</v>
      </c>
      <c r="Q139" s="43">
        <f t="shared" si="25"/>
        <v>0</v>
      </c>
      <c r="R139" s="106"/>
    </row>
    <row r="140" spans="1:18" s="42" customFormat="1" ht="26.25" hidden="1" customHeight="1" x14ac:dyDescent="0.2">
      <c r="A140" s="15">
        <f t="shared" si="26"/>
        <v>8</v>
      </c>
      <c r="B140" s="71" t="s">
        <v>162</v>
      </c>
      <c r="C140" s="17" t="s">
        <v>45</v>
      </c>
      <c r="D140" s="18"/>
      <c r="E140" s="18"/>
      <c r="F140" s="18"/>
      <c r="G140" s="19"/>
      <c r="H140" s="18"/>
      <c r="I140" s="20"/>
      <c r="J140" s="18"/>
      <c r="K140" s="18"/>
      <c r="L140" s="18"/>
      <c r="M140" s="18"/>
      <c r="N140" s="18"/>
      <c r="O140" s="105">
        <f t="shared" si="24"/>
        <v>0</v>
      </c>
      <c r="P140" s="106">
        <f>+VLOOKUP(B140,'[157]m codes'!$A:$B,2,0)</f>
        <v>900008157</v>
      </c>
      <c r="Q140" s="43">
        <f t="shared" si="25"/>
        <v>0</v>
      </c>
      <c r="R140" s="106"/>
    </row>
    <row r="141" spans="1:18" s="42" customFormat="1" ht="26.25" hidden="1" customHeight="1" x14ac:dyDescent="0.2">
      <c r="A141" s="15">
        <f t="shared" si="26"/>
        <v>9</v>
      </c>
      <c r="B141" s="71" t="s">
        <v>163</v>
      </c>
      <c r="C141" s="17" t="s">
        <v>45</v>
      </c>
      <c r="D141" s="18"/>
      <c r="E141" s="18"/>
      <c r="F141" s="18"/>
      <c r="G141" s="19"/>
      <c r="H141" s="18"/>
      <c r="I141" s="20">
        <v>4474</v>
      </c>
      <c r="J141" s="18"/>
      <c r="K141" s="18"/>
      <c r="L141" s="18"/>
      <c r="M141" s="18"/>
      <c r="N141" s="18"/>
      <c r="O141" s="105">
        <f t="shared" si="24"/>
        <v>0</v>
      </c>
      <c r="P141" s="106">
        <f>+VLOOKUP(B141,'[157]m codes'!$A:$B,2,0)</f>
        <v>900008159</v>
      </c>
      <c r="Q141" s="43">
        <f t="shared" si="25"/>
        <v>0</v>
      </c>
      <c r="R141" s="106"/>
    </row>
    <row r="142" spans="1:18" s="42" customFormat="1" ht="26.25" hidden="1" customHeight="1" x14ac:dyDescent="0.2">
      <c r="A142" s="15">
        <f t="shared" si="26"/>
        <v>10</v>
      </c>
      <c r="B142" s="16" t="s">
        <v>164</v>
      </c>
      <c r="C142" s="17" t="s">
        <v>45</v>
      </c>
      <c r="D142" s="18"/>
      <c r="E142" s="18"/>
      <c r="F142" s="18"/>
      <c r="G142" s="19"/>
      <c r="H142" s="18"/>
      <c r="I142" s="20"/>
      <c r="J142" s="18"/>
      <c r="K142" s="18"/>
      <c r="L142" s="18"/>
      <c r="M142" s="18"/>
      <c r="N142" s="18"/>
      <c r="O142" s="105">
        <f t="shared" si="24"/>
        <v>0</v>
      </c>
      <c r="P142" s="106">
        <f>+VLOOKUP(B142,'[157]m codes'!$A:$B,2,0)</f>
        <v>900008617</v>
      </c>
      <c r="Q142" s="43">
        <f t="shared" si="25"/>
        <v>0</v>
      </c>
      <c r="R142" s="106"/>
    </row>
    <row r="143" spans="1:18" s="42" customFormat="1" ht="26.25" hidden="1" customHeight="1" x14ac:dyDescent="0.2">
      <c r="A143" s="15">
        <f t="shared" si="26"/>
        <v>11</v>
      </c>
      <c r="B143" s="16" t="s">
        <v>165</v>
      </c>
      <c r="C143" s="17" t="s">
        <v>45</v>
      </c>
      <c r="D143" s="18"/>
      <c r="E143" s="18"/>
      <c r="F143" s="18"/>
      <c r="G143" s="19"/>
      <c r="H143" s="18"/>
      <c r="I143" s="20"/>
      <c r="J143" s="18"/>
      <c r="K143" s="18"/>
      <c r="L143" s="18"/>
      <c r="M143" s="18"/>
      <c r="N143" s="18"/>
      <c r="O143" s="105">
        <f t="shared" si="24"/>
        <v>0</v>
      </c>
      <c r="P143" s="106">
        <f>+VLOOKUP(B143,'[157]m codes'!$A:$B,2,0)</f>
        <v>900007416</v>
      </c>
      <c r="Q143" s="43">
        <f t="shared" si="25"/>
        <v>0</v>
      </c>
      <c r="R143" s="106"/>
    </row>
    <row r="144" spans="1:18" s="42" customFormat="1" ht="26.25" hidden="1" customHeight="1" x14ac:dyDescent="0.2">
      <c r="A144" s="15">
        <f t="shared" si="26"/>
        <v>12</v>
      </c>
      <c r="B144" s="16" t="s">
        <v>166</v>
      </c>
      <c r="C144" s="17" t="s">
        <v>45</v>
      </c>
      <c r="D144" s="18"/>
      <c r="E144" s="18"/>
      <c r="F144" s="18"/>
      <c r="G144" s="19"/>
      <c r="H144" s="18"/>
      <c r="I144" s="20"/>
      <c r="J144" s="18"/>
      <c r="K144" s="18">
        <f>+K3*2</f>
        <v>0</v>
      </c>
      <c r="L144" s="18">
        <f>+L3*2</f>
        <v>0</v>
      </c>
      <c r="M144" s="18"/>
      <c r="N144" s="18"/>
      <c r="O144" s="105">
        <f t="shared" si="24"/>
        <v>0</v>
      </c>
      <c r="P144" s="106">
        <f>+VLOOKUP(B144,'[157]m codes'!$A:$B,2,0)</f>
        <v>1200000419</v>
      </c>
      <c r="Q144" s="43">
        <f t="shared" si="25"/>
        <v>0</v>
      </c>
      <c r="R144" s="106"/>
    </row>
    <row r="145" spans="1:18" s="42" customFormat="1" ht="26.25" hidden="1" customHeight="1" x14ac:dyDescent="0.2">
      <c r="A145" s="15">
        <f t="shared" si="26"/>
        <v>13</v>
      </c>
      <c r="B145" s="16" t="s">
        <v>167</v>
      </c>
      <c r="C145" s="17" t="s">
        <v>45</v>
      </c>
      <c r="D145" s="18"/>
      <c r="E145" s="18"/>
      <c r="F145" s="18"/>
      <c r="G145" s="19"/>
      <c r="H145" s="18"/>
      <c r="I145" s="20"/>
      <c r="J145" s="18"/>
      <c r="K145" s="18">
        <f>+K3</f>
        <v>0</v>
      </c>
      <c r="L145" s="18">
        <f>+L3</f>
        <v>0</v>
      </c>
      <c r="M145" s="18"/>
      <c r="N145" s="18"/>
      <c r="O145" s="105">
        <f t="shared" si="24"/>
        <v>0</v>
      </c>
      <c r="P145" s="106">
        <f>+VLOOKUP(B145,'[157]m codes'!$A:$B,2,0)</f>
        <v>1200000416</v>
      </c>
      <c r="Q145" s="43">
        <f t="shared" si="25"/>
        <v>0</v>
      </c>
      <c r="R145" s="106"/>
    </row>
    <row r="146" spans="1:18" s="42" customFormat="1" ht="26.25" hidden="1" customHeight="1" x14ac:dyDescent="0.2">
      <c r="A146" s="15">
        <f t="shared" si="26"/>
        <v>14</v>
      </c>
      <c r="B146" s="16" t="s">
        <v>168</v>
      </c>
      <c r="C146" s="17" t="s">
        <v>45</v>
      </c>
      <c r="D146" s="18"/>
      <c r="E146" s="18"/>
      <c r="F146" s="18"/>
      <c r="G146" s="19"/>
      <c r="H146" s="18"/>
      <c r="I146" s="20">
        <v>4474</v>
      </c>
      <c r="J146" s="18"/>
      <c r="K146" s="18"/>
      <c r="L146" s="18"/>
      <c r="M146" s="18"/>
      <c r="N146" s="18"/>
      <c r="O146" s="105">
        <f t="shared" si="24"/>
        <v>0</v>
      </c>
      <c r="P146" s="106">
        <f>+VLOOKUP(B146,'[157]m codes'!$A:$B,2,0)</f>
        <v>1200000418</v>
      </c>
      <c r="Q146" s="43">
        <f t="shared" si="25"/>
        <v>0</v>
      </c>
      <c r="R146" s="106"/>
    </row>
    <row r="147" spans="1:18" s="42" customFormat="1" ht="26.25" hidden="1" customHeight="1" x14ac:dyDescent="0.2">
      <c r="A147" s="15">
        <f t="shared" si="26"/>
        <v>15</v>
      </c>
      <c r="B147" s="16" t="s">
        <v>169</v>
      </c>
      <c r="C147" s="17" t="s">
        <v>45</v>
      </c>
      <c r="D147" s="18"/>
      <c r="E147" s="18"/>
      <c r="F147" s="18"/>
      <c r="G147" s="19"/>
      <c r="H147" s="18"/>
      <c r="I147" s="20"/>
      <c r="J147" s="18"/>
      <c r="K147" s="18">
        <f>+K3</f>
        <v>0</v>
      </c>
      <c r="L147" s="18">
        <f>+L3</f>
        <v>0</v>
      </c>
      <c r="M147" s="18"/>
      <c r="N147" s="18"/>
      <c r="O147" s="105">
        <f t="shared" si="24"/>
        <v>0</v>
      </c>
      <c r="P147" s="106">
        <f>+VLOOKUP(B147,'[157]m codes'!$A:$B,2,0)</f>
        <v>1200000450</v>
      </c>
      <c r="Q147" s="43">
        <f t="shared" si="25"/>
        <v>0</v>
      </c>
      <c r="R147" s="106"/>
    </row>
    <row r="148" spans="1:18" s="42" customFormat="1" ht="26.25" hidden="1" customHeight="1" x14ac:dyDescent="0.2">
      <c r="A148" s="15">
        <f t="shared" si="26"/>
        <v>16</v>
      </c>
      <c r="B148" s="16" t="s">
        <v>170</v>
      </c>
      <c r="C148" s="17" t="s">
        <v>45</v>
      </c>
      <c r="D148" s="18"/>
      <c r="E148" s="18"/>
      <c r="F148" s="18"/>
      <c r="G148" s="19"/>
      <c r="H148" s="18"/>
      <c r="I148" s="20"/>
      <c r="J148" s="18"/>
      <c r="K148" s="18">
        <f>+K3</f>
        <v>0</v>
      </c>
      <c r="L148" s="18">
        <f>+L3</f>
        <v>0</v>
      </c>
      <c r="M148" s="18"/>
      <c r="N148" s="18"/>
      <c r="O148" s="105">
        <f t="shared" si="24"/>
        <v>0</v>
      </c>
      <c r="P148" s="106">
        <f>+VLOOKUP(B148,'[157]m codes'!$A:$B,2,0)</f>
        <v>1200000451</v>
      </c>
      <c r="Q148" s="43">
        <f t="shared" si="25"/>
        <v>0</v>
      </c>
      <c r="R148" s="106"/>
    </row>
    <row r="149" spans="1:18" s="42" customFormat="1" ht="26.25" hidden="1" customHeight="1" x14ac:dyDescent="0.2">
      <c r="A149" s="15">
        <f t="shared" si="26"/>
        <v>17</v>
      </c>
      <c r="B149" s="16" t="s">
        <v>171</v>
      </c>
      <c r="C149" s="17" t="s">
        <v>45</v>
      </c>
      <c r="D149" s="18"/>
      <c r="E149" s="18"/>
      <c r="F149" s="18"/>
      <c r="G149" s="19"/>
      <c r="H149" s="18"/>
      <c r="I149" s="20"/>
      <c r="J149" s="18"/>
      <c r="K149" s="18">
        <f>+K3</f>
        <v>0</v>
      </c>
      <c r="L149" s="18">
        <f>+L3</f>
        <v>0</v>
      </c>
      <c r="M149" s="18"/>
      <c r="N149" s="18"/>
      <c r="O149" s="105">
        <f t="shared" si="24"/>
        <v>0</v>
      </c>
      <c r="P149" s="106">
        <f>+VLOOKUP(B149,'[157]m codes'!$A:$B,2,0)</f>
        <v>1200000448</v>
      </c>
      <c r="Q149" s="43">
        <f t="shared" si="25"/>
        <v>0</v>
      </c>
      <c r="R149" s="106"/>
    </row>
    <row r="150" spans="1:18" s="42" customFormat="1" ht="26.25" hidden="1" customHeight="1" x14ac:dyDescent="0.2">
      <c r="A150" s="15">
        <f t="shared" si="26"/>
        <v>18</v>
      </c>
      <c r="B150" s="16" t="s">
        <v>172</v>
      </c>
      <c r="C150" s="17" t="s">
        <v>45</v>
      </c>
      <c r="D150" s="18"/>
      <c r="E150" s="18"/>
      <c r="F150" s="18"/>
      <c r="G150" s="19"/>
      <c r="H150" s="18"/>
      <c r="I150" s="20">
        <v>4474</v>
      </c>
      <c r="J150" s="18"/>
      <c r="K150" s="18">
        <f>+K3</f>
        <v>0</v>
      </c>
      <c r="L150" s="18">
        <f>+L3</f>
        <v>0</v>
      </c>
      <c r="M150" s="18"/>
      <c r="N150" s="18"/>
      <c r="O150" s="105">
        <f t="shared" si="24"/>
        <v>0</v>
      </c>
      <c r="P150" s="106">
        <f>+VLOOKUP(B150,'[157]m codes'!$A:$B,2,0)</f>
        <v>1200000417</v>
      </c>
      <c r="Q150" s="43">
        <f t="shared" si="25"/>
        <v>0</v>
      </c>
      <c r="R150" s="106"/>
    </row>
    <row r="151" spans="1:18" s="42" customFormat="1" ht="26.25" hidden="1" customHeight="1" x14ac:dyDescent="0.2">
      <c r="A151" s="15">
        <f t="shared" si="26"/>
        <v>19</v>
      </c>
      <c r="B151" s="16" t="s">
        <v>173</v>
      </c>
      <c r="C151" s="17" t="s">
        <v>45</v>
      </c>
      <c r="D151" s="18"/>
      <c r="E151" s="18"/>
      <c r="F151" s="18"/>
      <c r="G151" s="19"/>
      <c r="H151" s="18"/>
      <c r="I151" s="20"/>
      <c r="J151" s="18"/>
      <c r="K151" s="18">
        <f>+K3</f>
        <v>0</v>
      </c>
      <c r="L151" s="18">
        <f>+L3</f>
        <v>0</v>
      </c>
      <c r="M151" s="18"/>
      <c r="N151" s="18"/>
      <c r="O151" s="105">
        <f t="shared" si="24"/>
        <v>0</v>
      </c>
      <c r="P151" s="106">
        <f>+VLOOKUP(B151,'[157]m codes'!$A:$B,2,0)</f>
        <v>1200000414</v>
      </c>
      <c r="Q151" s="43">
        <f t="shared" si="25"/>
        <v>0</v>
      </c>
      <c r="R151" s="106"/>
    </row>
    <row r="152" spans="1:18" s="42" customFormat="1" ht="26.25" hidden="1" customHeight="1" x14ac:dyDescent="0.2">
      <c r="A152" s="15">
        <f t="shared" si="26"/>
        <v>20</v>
      </c>
      <c r="B152" s="16" t="s">
        <v>174</v>
      </c>
      <c r="C152" s="17" t="s">
        <v>45</v>
      </c>
      <c r="D152" s="18"/>
      <c r="E152" s="18"/>
      <c r="F152" s="18"/>
      <c r="G152" s="19"/>
      <c r="H152" s="18"/>
      <c r="I152" s="20"/>
      <c r="J152" s="18"/>
      <c r="K152" s="18"/>
      <c r="L152" s="18"/>
      <c r="M152" s="18"/>
      <c r="N152" s="18"/>
      <c r="O152" s="105">
        <f t="shared" si="24"/>
        <v>0</v>
      </c>
      <c r="P152" s="106">
        <f>+VLOOKUP(B152,'[157]m codes'!$A:$B,2,0)</f>
        <v>1200000415</v>
      </c>
      <c r="Q152" s="43">
        <f t="shared" si="25"/>
        <v>0</v>
      </c>
      <c r="R152" s="106"/>
    </row>
    <row r="153" spans="1:18" s="42" customFormat="1" ht="26.25" hidden="1" customHeight="1" x14ac:dyDescent="0.2">
      <c r="A153" s="15">
        <f t="shared" si="26"/>
        <v>21</v>
      </c>
      <c r="B153" s="16" t="s">
        <v>175</v>
      </c>
      <c r="C153" s="17" t="s">
        <v>45</v>
      </c>
      <c r="D153" s="18"/>
      <c r="E153" s="18"/>
      <c r="F153" s="18"/>
      <c r="G153" s="19">
        <f t="shared" ref="G153" si="27">+E153-F153</f>
        <v>0</v>
      </c>
      <c r="H153" s="18">
        <f t="shared" ref="H153:H154" si="28">D153-E153</f>
        <v>0</v>
      </c>
      <c r="I153" s="20"/>
      <c r="J153" s="18"/>
      <c r="K153" s="18"/>
      <c r="L153" s="18"/>
      <c r="M153" s="18"/>
      <c r="N153" s="18"/>
      <c r="O153" s="105">
        <f t="shared" si="24"/>
        <v>0</v>
      </c>
      <c r="P153" s="106">
        <f>+VLOOKUP(B153,'[157]m codes'!$A:$B,2,0)</f>
        <v>200001364</v>
      </c>
      <c r="Q153" s="43">
        <f t="shared" si="25"/>
        <v>0</v>
      </c>
      <c r="R153" s="106"/>
    </row>
    <row r="154" spans="1:18" s="42" customFormat="1" ht="26.25" hidden="1" customHeight="1" x14ac:dyDescent="0.2">
      <c r="A154" s="72">
        <f t="shared" si="26"/>
        <v>22</v>
      </c>
      <c r="B154" s="73"/>
      <c r="C154" s="18"/>
      <c r="D154" s="18"/>
      <c r="E154" s="18"/>
      <c r="F154" s="18"/>
      <c r="G154" s="19"/>
      <c r="H154" s="18">
        <f t="shared" si="28"/>
        <v>0</v>
      </c>
      <c r="I154" s="20"/>
      <c r="J154" s="18"/>
      <c r="K154" s="18"/>
      <c r="L154" s="18"/>
      <c r="M154" s="18"/>
      <c r="N154" s="18"/>
      <c r="O154" s="105">
        <f t="shared" si="24"/>
        <v>0</v>
      </c>
      <c r="P154" s="106" t="e">
        <f>+VLOOKUP(B154,'[157]m codes'!$A:$B,2,0)</f>
        <v>#N/A</v>
      </c>
      <c r="Q154" s="43">
        <f t="shared" si="25"/>
        <v>0</v>
      </c>
      <c r="R154" s="106"/>
    </row>
    <row r="155" spans="1:18" s="50" customFormat="1" ht="26.25" hidden="1" customHeight="1" x14ac:dyDescent="0.25">
      <c r="A155" s="74"/>
      <c r="B155" s="49" t="s">
        <v>98</v>
      </c>
      <c r="C155" s="49"/>
      <c r="D155" s="46"/>
      <c r="E155" s="46"/>
      <c r="F155" s="46"/>
      <c r="G155" s="47"/>
      <c r="H155" s="46"/>
      <c r="I155" s="48"/>
      <c r="J155" s="49"/>
      <c r="K155" s="49"/>
      <c r="L155" s="49"/>
      <c r="M155" s="49"/>
      <c r="N155" s="49"/>
      <c r="O155" s="45"/>
      <c r="P155" s="108"/>
      <c r="Q155" s="51"/>
      <c r="R155" s="108"/>
    </row>
    <row r="156" spans="1:18" x14ac:dyDescent="0.25">
      <c r="A156" s="75"/>
      <c r="B156" s="76"/>
      <c r="C156" s="76"/>
      <c r="D156" s="75"/>
      <c r="E156" s="75"/>
      <c r="F156" s="75"/>
      <c r="G156" s="75"/>
      <c r="H156" s="75"/>
      <c r="I156" s="77"/>
      <c r="J156" s="76"/>
      <c r="K156" s="78"/>
      <c r="L156" s="79"/>
      <c r="M156" s="79"/>
      <c r="N156" s="80"/>
      <c r="O156" s="76"/>
      <c r="Q156" s="81"/>
    </row>
    <row r="157" spans="1:18" x14ac:dyDescent="0.25">
      <c r="A157" s="75"/>
      <c r="B157" s="76"/>
      <c r="C157" s="76"/>
      <c r="D157" s="75"/>
      <c r="E157" s="75"/>
      <c r="F157" s="75"/>
      <c r="G157" s="75"/>
      <c r="H157" s="75"/>
      <c r="I157" s="77"/>
      <c r="J157" s="76"/>
      <c r="K157" s="78"/>
      <c r="L157" s="79"/>
      <c r="M157" s="79"/>
      <c r="N157" s="80"/>
      <c r="O157" s="76"/>
      <c r="Q157" s="81"/>
    </row>
    <row r="158" spans="1:18" x14ac:dyDescent="0.25">
      <c r="A158" s="75"/>
      <c r="B158" s="76"/>
      <c r="C158" s="76"/>
      <c r="D158" s="75"/>
      <c r="E158" s="75"/>
      <c r="F158" s="75"/>
      <c r="G158" s="75"/>
      <c r="H158" s="75"/>
      <c r="I158" s="77"/>
      <c r="J158" s="76"/>
      <c r="K158" s="78"/>
      <c r="L158" s="79"/>
      <c r="M158" s="79"/>
      <c r="N158" s="80"/>
      <c r="O158" s="76"/>
      <c r="Q158" s="81"/>
    </row>
    <row r="159" spans="1:18" s="86" customFormat="1" ht="14.25" x14ac:dyDescent="0.25">
      <c r="A159" s="236" t="s">
        <v>176</v>
      </c>
      <c r="B159" s="236"/>
      <c r="C159" s="236"/>
      <c r="D159" s="236"/>
      <c r="E159" s="236"/>
      <c r="F159" s="236"/>
      <c r="G159" s="236"/>
      <c r="H159" s="236"/>
      <c r="I159" s="236"/>
      <c r="J159" s="236"/>
      <c r="K159" s="82"/>
      <c r="L159" s="83"/>
      <c r="M159" s="83"/>
      <c r="N159" s="84"/>
      <c r="O159" s="85"/>
      <c r="Q159" s="87"/>
    </row>
    <row r="162" spans="2:17" x14ac:dyDescent="0.25">
      <c r="B162" s="88"/>
      <c r="D162"/>
      <c r="E162"/>
      <c r="F162"/>
      <c r="G162"/>
      <c r="H162"/>
      <c r="I162"/>
      <c r="K162"/>
      <c r="L162"/>
      <c r="M162"/>
      <c r="N162"/>
      <c r="O162"/>
      <c r="Q162"/>
    </row>
    <row r="163" spans="2:17" ht="15.75" x14ac:dyDescent="0.25">
      <c r="B163" s="89" t="s">
        <v>177</v>
      </c>
      <c r="D163"/>
      <c r="E163"/>
      <c r="F163"/>
      <c r="G163"/>
      <c r="H163"/>
      <c r="I163"/>
      <c r="K163"/>
      <c r="L163"/>
      <c r="M163"/>
      <c r="N163"/>
      <c r="O163"/>
      <c r="Q163"/>
    </row>
    <row r="164" spans="2:17" x14ac:dyDescent="0.25">
      <c r="B164" s="88"/>
      <c r="D164"/>
      <c r="E164"/>
      <c r="F164"/>
      <c r="G164"/>
      <c r="H164"/>
      <c r="I164"/>
      <c r="K164"/>
      <c r="L164"/>
      <c r="M164"/>
      <c r="N164"/>
      <c r="O164"/>
      <c r="Q164"/>
    </row>
    <row r="165" spans="2:17" x14ac:dyDescent="0.25">
      <c r="B165" s="88"/>
      <c r="D165"/>
      <c r="E165"/>
      <c r="F165"/>
      <c r="G165"/>
      <c r="H165"/>
      <c r="I165"/>
      <c r="K165"/>
      <c r="L165"/>
      <c r="M165"/>
      <c r="N165"/>
      <c r="O165"/>
      <c r="Q165"/>
    </row>
    <row r="166" spans="2:17" x14ac:dyDescent="0.25">
      <c r="B166" s="88"/>
      <c r="D166"/>
      <c r="E166"/>
      <c r="F166"/>
      <c r="G166"/>
      <c r="H166"/>
      <c r="I166"/>
      <c r="K166"/>
      <c r="L166"/>
      <c r="M166"/>
      <c r="N166"/>
      <c r="O166"/>
      <c r="Q166"/>
    </row>
    <row r="167" spans="2:17" x14ac:dyDescent="0.25">
      <c r="B167" s="88"/>
      <c r="D167"/>
      <c r="E167"/>
      <c r="F167"/>
      <c r="G167"/>
      <c r="H167"/>
      <c r="I167"/>
      <c r="K167"/>
      <c r="L167"/>
      <c r="M167"/>
      <c r="N167"/>
      <c r="O167"/>
      <c r="Q167"/>
    </row>
    <row r="168" spans="2:17" x14ac:dyDescent="0.25">
      <c r="B168" s="88"/>
      <c r="D168"/>
      <c r="E168"/>
      <c r="F168"/>
      <c r="G168"/>
      <c r="H168"/>
      <c r="I168"/>
      <c r="K168"/>
      <c r="L168"/>
      <c r="M168"/>
      <c r="N168"/>
      <c r="O168"/>
      <c r="Q168"/>
    </row>
    <row r="169" spans="2:17" x14ac:dyDescent="0.25">
      <c r="B169" s="88"/>
      <c r="D169"/>
      <c r="E169"/>
      <c r="F169"/>
      <c r="G169"/>
      <c r="H169"/>
      <c r="I169"/>
      <c r="K169"/>
      <c r="L169"/>
      <c r="M169"/>
      <c r="N169"/>
      <c r="O169"/>
      <c r="Q169"/>
    </row>
    <row r="170" spans="2:17" x14ac:dyDescent="0.25">
      <c r="B170" s="88"/>
      <c r="D170"/>
      <c r="E170"/>
      <c r="F170"/>
      <c r="G170"/>
      <c r="H170"/>
      <c r="I170"/>
      <c r="K170"/>
      <c r="L170"/>
      <c r="M170"/>
      <c r="N170"/>
      <c r="O170"/>
      <c r="Q170"/>
    </row>
    <row r="171" spans="2:17" x14ac:dyDescent="0.25">
      <c r="B171" s="88"/>
      <c r="D171"/>
      <c r="E171"/>
      <c r="F171"/>
      <c r="G171"/>
      <c r="H171"/>
      <c r="I171"/>
      <c r="K171"/>
      <c r="L171"/>
      <c r="M171"/>
      <c r="N171"/>
      <c r="O171"/>
      <c r="Q171"/>
    </row>
    <row r="172" spans="2:17" x14ac:dyDescent="0.25">
      <c r="B172" s="88"/>
      <c r="D172"/>
      <c r="E172"/>
      <c r="F172"/>
      <c r="G172"/>
      <c r="H172"/>
      <c r="I172"/>
      <c r="K172"/>
      <c r="L172"/>
      <c r="M172"/>
      <c r="N172"/>
      <c r="O172"/>
      <c r="Q172"/>
    </row>
    <row r="173" spans="2:17" x14ac:dyDescent="0.25">
      <c r="B173" s="88"/>
      <c r="D173"/>
      <c r="E173"/>
      <c r="F173"/>
      <c r="G173"/>
      <c r="H173"/>
      <c r="I173"/>
      <c r="K173"/>
      <c r="L173"/>
      <c r="M173"/>
      <c r="N173"/>
      <c r="O173"/>
      <c r="Q173"/>
    </row>
    <row r="174" spans="2:17" x14ac:dyDescent="0.25">
      <c r="B174" s="88"/>
      <c r="D174"/>
      <c r="E174"/>
      <c r="F174"/>
      <c r="G174"/>
      <c r="H174"/>
      <c r="I174"/>
      <c r="K174"/>
      <c r="L174"/>
      <c r="M174"/>
      <c r="N174"/>
      <c r="O174"/>
      <c r="Q174"/>
    </row>
    <row r="175" spans="2:17" x14ac:dyDescent="0.25">
      <c r="B175" s="88"/>
      <c r="D175"/>
      <c r="E175"/>
      <c r="F175"/>
      <c r="G175"/>
      <c r="H175"/>
      <c r="I175"/>
      <c r="K175"/>
      <c r="L175"/>
      <c r="M175"/>
      <c r="N175"/>
      <c r="O175"/>
      <c r="Q175"/>
    </row>
    <row r="176" spans="2:17" x14ac:dyDescent="0.25">
      <c r="B176" s="88"/>
      <c r="D176"/>
      <c r="E176"/>
      <c r="F176"/>
      <c r="G176"/>
      <c r="H176"/>
      <c r="I176"/>
      <c r="K176"/>
      <c r="L176"/>
      <c r="M176"/>
      <c r="N176"/>
      <c r="O176"/>
      <c r="Q176"/>
    </row>
    <row r="177" spans="2:17" x14ac:dyDescent="0.25">
      <c r="B177" s="88"/>
      <c r="D177"/>
      <c r="E177"/>
      <c r="F177"/>
      <c r="G177"/>
      <c r="H177"/>
      <c r="I177"/>
      <c r="K177"/>
      <c r="L177"/>
      <c r="M177"/>
      <c r="N177"/>
      <c r="O177"/>
      <c r="Q177"/>
    </row>
    <row r="178" spans="2:17" x14ac:dyDescent="0.25">
      <c r="B178" s="88"/>
      <c r="D178"/>
      <c r="E178"/>
      <c r="F178"/>
      <c r="G178"/>
      <c r="H178"/>
      <c r="I178"/>
      <c r="K178"/>
      <c r="L178"/>
      <c r="M178"/>
      <c r="N178"/>
      <c r="O178"/>
      <c r="Q178"/>
    </row>
    <row r="179" spans="2:17" x14ac:dyDescent="0.25">
      <c r="B179" s="88"/>
      <c r="D179"/>
      <c r="E179"/>
      <c r="F179"/>
      <c r="G179"/>
      <c r="H179"/>
      <c r="I179"/>
      <c r="K179"/>
      <c r="L179"/>
      <c r="M179"/>
      <c r="N179"/>
      <c r="O179"/>
      <c r="Q179"/>
    </row>
    <row r="180" spans="2:17" x14ac:dyDescent="0.25">
      <c r="B180" s="88"/>
      <c r="D180"/>
      <c r="E180"/>
      <c r="F180"/>
      <c r="G180"/>
      <c r="H180"/>
      <c r="I180"/>
      <c r="K180"/>
      <c r="L180"/>
      <c r="M180"/>
      <c r="N180"/>
      <c r="O180"/>
      <c r="Q180"/>
    </row>
    <row r="181" spans="2:17" x14ac:dyDescent="0.25">
      <c r="B181" s="88"/>
      <c r="D181"/>
      <c r="E181"/>
      <c r="F181"/>
      <c r="G181"/>
      <c r="H181"/>
      <c r="I181"/>
      <c r="K181"/>
      <c r="L181"/>
      <c r="M181"/>
      <c r="N181"/>
      <c r="O181"/>
      <c r="Q181"/>
    </row>
    <row r="182" spans="2:17" x14ac:dyDescent="0.25">
      <c r="B182" s="88"/>
      <c r="D182"/>
      <c r="E182"/>
      <c r="F182"/>
      <c r="G182"/>
      <c r="H182"/>
      <c r="I182"/>
      <c r="K182"/>
      <c r="L182"/>
      <c r="M182"/>
      <c r="N182"/>
      <c r="O182"/>
      <c r="Q182"/>
    </row>
    <row r="183" spans="2:17" x14ac:dyDescent="0.25">
      <c r="B183" s="88"/>
      <c r="D183"/>
      <c r="E183"/>
      <c r="F183"/>
      <c r="G183"/>
      <c r="H183"/>
      <c r="I183"/>
      <c r="K183"/>
      <c r="L183"/>
      <c r="M183"/>
      <c r="N183"/>
      <c r="O183"/>
      <c r="Q183"/>
    </row>
    <row r="184" spans="2:17" x14ac:dyDescent="0.25">
      <c r="B184" s="88"/>
      <c r="D184"/>
      <c r="E184"/>
      <c r="F184"/>
      <c r="G184"/>
      <c r="H184"/>
      <c r="I184"/>
      <c r="K184"/>
      <c r="L184"/>
      <c r="M184"/>
      <c r="N184"/>
      <c r="O184"/>
      <c r="Q184"/>
    </row>
    <row r="185" spans="2:17" x14ac:dyDescent="0.25">
      <c r="B185" s="88"/>
      <c r="D185"/>
      <c r="E185"/>
      <c r="F185"/>
      <c r="G185"/>
      <c r="H185"/>
      <c r="I185"/>
      <c r="K185"/>
      <c r="L185"/>
      <c r="M185"/>
      <c r="N185"/>
      <c r="O185"/>
      <c r="Q185"/>
    </row>
    <row r="186" spans="2:17" x14ac:dyDescent="0.25">
      <c r="B186" s="88"/>
      <c r="D186"/>
      <c r="E186"/>
      <c r="F186"/>
      <c r="G186"/>
      <c r="H186"/>
      <c r="I186"/>
      <c r="K186"/>
      <c r="L186"/>
      <c r="M186"/>
      <c r="N186"/>
      <c r="O186"/>
      <c r="Q186"/>
    </row>
    <row r="187" spans="2:17" x14ac:dyDescent="0.25">
      <c r="B187" s="88"/>
      <c r="D187"/>
      <c r="E187"/>
      <c r="F187"/>
      <c r="G187"/>
      <c r="H187"/>
      <c r="I187"/>
      <c r="K187"/>
      <c r="L187"/>
      <c r="M187"/>
      <c r="N187"/>
      <c r="O187"/>
      <c r="Q187"/>
    </row>
    <row r="188" spans="2:17" x14ac:dyDescent="0.25">
      <c r="B188" s="88"/>
      <c r="D188"/>
      <c r="E188"/>
      <c r="F188"/>
      <c r="G188"/>
      <c r="H188"/>
      <c r="I188"/>
      <c r="K188"/>
      <c r="L188"/>
      <c r="M188"/>
      <c r="N188"/>
      <c r="O188"/>
      <c r="Q188"/>
    </row>
    <row r="189" spans="2:17" x14ac:dyDescent="0.25">
      <c r="B189" s="88"/>
      <c r="D189"/>
      <c r="E189"/>
      <c r="F189"/>
      <c r="G189"/>
      <c r="H189"/>
      <c r="I189"/>
      <c r="K189"/>
      <c r="L189"/>
      <c r="M189"/>
      <c r="N189"/>
      <c r="O189"/>
      <c r="Q189"/>
    </row>
    <row r="190" spans="2:17" x14ac:dyDescent="0.25">
      <c r="B190" s="88"/>
      <c r="D190"/>
      <c r="E190"/>
      <c r="F190"/>
      <c r="G190"/>
      <c r="H190"/>
      <c r="I190"/>
      <c r="K190"/>
      <c r="L190"/>
      <c r="M190"/>
      <c r="N190"/>
      <c r="O190"/>
      <c r="Q190"/>
    </row>
    <row r="191" spans="2:17" x14ac:dyDescent="0.25">
      <c r="B191" s="88"/>
      <c r="D191"/>
      <c r="E191"/>
      <c r="F191"/>
      <c r="G191"/>
      <c r="H191"/>
      <c r="I191"/>
      <c r="K191"/>
      <c r="L191"/>
      <c r="M191"/>
      <c r="N191"/>
      <c r="O191"/>
      <c r="Q191"/>
    </row>
    <row r="192" spans="2:17" x14ac:dyDescent="0.25">
      <c r="B192" s="88"/>
      <c r="D192"/>
      <c r="E192"/>
      <c r="F192"/>
      <c r="G192"/>
      <c r="H192"/>
      <c r="I192"/>
      <c r="K192"/>
      <c r="L192"/>
      <c r="M192"/>
      <c r="N192"/>
      <c r="O192"/>
      <c r="Q192"/>
    </row>
    <row r="193" spans="2:17" x14ac:dyDescent="0.25">
      <c r="B193" s="88"/>
      <c r="D193"/>
      <c r="E193"/>
      <c r="F193"/>
      <c r="G193"/>
      <c r="H193"/>
      <c r="I193"/>
      <c r="K193"/>
      <c r="L193"/>
      <c r="M193"/>
      <c r="N193"/>
      <c r="O193"/>
      <c r="Q193"/>
    </row>
    <row r="194" spans="2:17" x14ac:dyDescent="0.25">
      <c r="B194" s="88"/>
      <c r="D194"/>
      <c r="E194"/>
      <c r="F194"/>
      <c r="G194"/>
      <c r="H194"/>
      <c r="I194"/>
      <c r="K194"/>
      <c r="L194"/>
      <c r="M194"/>
      <c r="N194"/>
      <c r="O194"/>
      <c r="Q194"/>
    </row>
    <row r="195" spans="2:17" x14ac:dyDescent="0.25">
      <c r="B195" s="88"/>
      <c r="D195"/>
      <c r="E195"/>
      <c r="F195"/>
      <c r="G195"/>
      <c r="H195"/>
      <c r="I195"/>
      <c r="K195"/>
      <c r="L195"/>
      <c r="M195"/>
      <c r="N195"/>
      <c r="O195"/>
      <c r="Q195"/>
    </row>
    <row r="196" spans="2:17" x14ac:dyDescent="0.25">
      <c r="B196" s="88"/>
      <c r="D196"/>
      <c r="E196"/>
      <c r="F196"/>
      <c r="G196"/>
      <c r="H196"/>
      <c r="I196"/>
      <c r="K196"/>
      <c r="L196"/>
      <c r="M196"/>
      <c r="N196"/>
      <c r="O196"/>
      <c r="Q196"/>
    </row>
    <row r="197" spans="2:17" x14ac:dyDescent="0.25">
      <c r="B197" s="88"/>
      <c r="D197"/>
      <c r="E197"/>
      <c r="F197"/>
      <c r="G197"/>
      <c r="H197"/>
      <c r="I197"/>
      <c r="K197"/>
      <c r="L197"/>
      <c r="M197"/>
      <c r="N197"/>
      <c r="O197"/>
      <c r="Q197"/>
    </row>
    <row r="198" spans="2:17" x14ac:dyDescent="0.25">
      <c r="B198" s="88"/>
      <c r="D198"/>
      <c r="E198"/>
      <c r="F198"/>
      <c r="G198"/>
      <c r="H198"/>
      <c r="I198"/>
      <c r="K198"/>
      <c r="L198"/>
      <c r="M198"/>
      <c r="N198"/>
      <c r="O198"/>
      <c r="Q198"/>
    </row>
    <row r="199" spans="2:17" x14ac:dyDescent="0.25">
      <c r="B199" s="88"/>
      <c r="D199"/>
      <c r="E199"/>
      <c r="F199"/>
      <c r="G199"/>
      <c r="H199"/>
      <c r="I199"/>
      <c r="K199"/>
      <c r="L199"/>
      <c r="M199"/>
      <c r="N199"/>
      <c r="O199"/>
      <c r="Q199"/>
    </row>
    <row r="200" spans="2:17" x14ac:dyDescent="0.25">
      <c r="B200" s="88"/>
      <c r="D200"/>
      <c r="E200"/>
      <c r="F200"/>
      <c r="G200"/>
      <c r="H200"/>
      <c r="I200"/>
      <c r="K200"/>
      <c r="L200"/>
      <c r="M200"/>
      <c r="N200"/>
      <c r="O200"/>
      <c r="Q200"/>
    </row>
    <row r="201" spans="2:17" x14ac:dyDescent="0.25">
      <c r="B201" s="88"/>
      <c r="D201"/>
      <c r="E201"/>
      <c r="F201"/>
      <c r="G201"/>
      <c r="H201"/>
      <c r="I201"/>
      <c r="K201"/>
      <c r="L201"/>
      <c r="M201"/>
      <c r="N201"/>
      <c r="O201"/>
      <c r="Q201"/>
    </row>
    <row r="202" spans="2:17" x14ac:dyDescent="0.25">
      <c r="B202" s="88"/>
      <c r="D202"/>
      <c r="E202"/>
      <c r="F202"/>
      <c r="G202"/>
      <c r="H202"/>
      <c r="I202"/>
      <c r="K202"/>
      <c r="L202"/>
      <c r="M202"/>
      <c r="N202"/>
      <c r="O202"/>
      <c r="Q202"/>
    </row>
    <row r="203" spans="2:17" x14ac:dyDescent="0.25">
      <c r="B203" s="88"/>
      <c r="D203"/>
      <c r="E203"/>
      <c r="F203"/>
      <c r="G203"/>
      <c r="H203"/>
      <c r="I203"/>
      <c r="K203"/>
      <c r="L203"/>
      <c r="M203"/>
      <c r="N203"/>
      <c r="O203"/>
      <c r="Q203"/>
    </row>
  </sheetData>
  <mergeCells count="16">
    <mergeCell ref="A1:J1"/>
    <mergeCell ref="A2:J2"/>
    <mergeCell ref="A3:J3"/>
    <mergeCell ref="G4:J4"/>
    <mergeCell ref="G5:J5"/>
    <mergeCell ref="J6:J7"/>
    <mergeCell ref="K6:O6"/>
    <mergeCell ref="R6:R7"/>
    <mergeCell ref="A159:J159"/>
    <mergeCell ref="S9:S11"/>
    <mergeCell ref="A6:A7"/>
    <mergeCell ref="B6:B7"/>
    <mergeCell ref="C6:C7"/>
    <mergeCell ref="E6:G6"/>
    <mergeCell ref="H6:H7"/>
    <mergeCell ref="S4:S7"/>
  </mergeCells>
  <conditionalFormatting sqref="C59:F64 C154:G154 H1:I3 I10:I13 I153:I154 H6:I9 C153:F153 H10:H18">
    <cfRule type="cellIs" dxfId="45" priority="44" operator="lessThan">
      <formula>0</formula>
    </cfRule>
  </conditionalFormatting>
  <conditionalFormatting sqref="C14:E16 C18:F18 I18 I14:I16">
    <cfRule type="cellIs" dxfId="44" priority="41" operator="lessThan">
      <formula>0</formula>
    </cfRule>
  </conditionalFormatting>
  <conditionalFormatting sqref="C22:F29 I22:I29">
    <cfRule type="cellIs" dxfId="43" priority="40" operator="lessThan">
      <formula>0</formula>
    </cfRule>
  </conditionalFormatting>
  <conditionalFormatting sqref="C32:F58 I32:I58">
    <cfRule type="cellIs" dxfId="42" priority="39" operator="lessThan">
      <formula>0</formula>
    </cfRule>
  </conditionalFormatting>
  <conditionalFormatting sqref="C67:F74 I67:I74">
    <cfRule type="cellIs" dxfId="41" priority="38" operator="lessThan">
      <formula>0</formula>
    </cfRule>
  </conditionalFormatting>
  <conditionalFormatting sqref="C77:F104 I77:I104">
    <cfRule type="cellIs" dxfId="40" priority="37" operator="lessThan">
      <formula>0</formula>
    </cfRule>
  </conditionalFormatting>
  <conditionalFormatting sqref="C107:F114 I107:I114">
    <cfRule type="cellIs" dxfId="39" priority="36" operator="lessThan">
      <formula>0</formula>
    </cfRule>
  </conditionalFormatting>
  <conditionalFormatting sqref="C117:F123 I117:I123">
    <cfRule type="cellIs" dxfId="38" priority="34" operator="lessThan">
      <formula>0</formula>
    </cfRule>
  </conditionalFormatting>
  <conditionalFormatting sqref="C126:F130 I126:I130">
    <cfRule type="cellIs" dxfId="37" priority="35" operator="lessThan">
      <formula>0</formula>
    </cfRule>
  </conditionalFormatting>
  <conditionalFormatting sqref="C133:F151 I133:I151">
    <cfRule type="cellIs" dxfId="36" priority="33" operator="lessThan">
      <formula>0</formula>
    </cfRule>
  </conditionalFormatting>
  <conditionalFormatting sqref="H20:I21 I59:I65 H66:I66 H75:I76 I105 H106:I106 I115 H116:I116 H125:I125 I131 I19 C9:E13 G9:H9 G10:G16 H10:H18">
    <cfRule type="cellIs" dxfId="35" priority="46" operator="lessThan">
      <formula>0</formula>
    </cfRule>
  </conditionalFormatting>
  <conditionalFormatting sqref="H31:I31 I30">
    <cfRule type="cellIs" dxfId="34" priority="45" operator="lessThan">
      <formula>0</formula>
    </cfRule>
  </conditionalFormatting>
  <conditionalFormatting sqref="H155:I1048576">
    <cfRule type="cellIs" dxfId="33" priority="42" operator="lessThan">
      <formula>0</formula>
    </cfRule>
  </conditionalFormatting>
  <conditionalFormatting sqref="I124">
    <cfRule type="cellIs" dxfId="32" priority="43" operator="lessThan">
      <formula>0</formula>
    </cfRule>
  </conditionalFormatting>
  <conditionalFormatting sqref="C152:F152 I152">
    <cfRule type="cellIs" dxfId="31" priority="32" operator="lessThan">
      <formula>0</formula>
    </cfRule>
  </conditionalFormatting>
  <conditionalFormatting sqref="C17:F17 I17">
    <cfRule type="cellIs" dxfId="30" priority="31" operator="lessThan">
      <formula>0</formula>
    </cfRule>
  </conditionalFormatting>
  <conditionalFormatting sqref="K3:K5">
    <cfRule type="cellIs" dxfId="29" priority="30" operator="lessThan">
      <formula>0</formula>
    </cfRule>
  </conditionalFormatting>
  <conditionalFormatting sqref="H22:H29">
    <cfRule type="cellIs" dxfId="28" priority="28" operator="lessThan">
      <formula>0</formula>
    </cfRule>
  </conditionalFormatting>
  <conditionalFormatting sqref="H22:H29">
    <cfRule type="cellIs" dxfId="27" priority="29" operator="lessThan">
      <formula>0</formula>
    </cfRule>
  </conditionalFormatting>
  <conditionalFormatting sqref="H32:H64">
    <cfRule type="cellIs" dxfId="26" priority="26" operator="lessThan">
      <formula>0</formula>
    </cfRule>
  </conditionalFormatting>
  <conditionalFormatting sqref="H32:H64">
    <cfRule type="cellIs" dxfId="25" priority="27" operator="lessThan">
      <formula>0</formula>
    </cfRule>
  </conditionalFormatting>
  <conditionalFormatting sqref="H67:H68 H70:H74">
    <cfRule type="cellIs" dxfId="24" priority="24" operator="lessThan">
      <formula>0</formula>
    </cfRule>
  </conditionalFormatting>
  <conditionalFormatting sqref="H67:H68 H70:H74">
    <cfRule type="cellIs" dxfId="23" priority="25" operator="lessThan">
      <formula>0</formula>
    </cfRule>
  </conditionalFormatting>
  <conditionalFormatting sqref="H69">
    <cfRule type="cellIs" dxfId="22" priority="22" operator="lessThan">
      <formula>0</formula>
    </cfRule>
  </conditionalFormatting>
  <conditionalFormatting sqref="H69">
    <cfRule type="cellIs" dxfId="21" priority="23" operator="lessThan">
      <formula>0</formula>
    </cfRule>
  </conditionalFormatting>
  <conditionalFormatting sqref="H77:H104">
    <cfRule type="cellIs" dxfId="20" priority="20" operator="lessThan">
      <formula>0</formula>
    </cfRule>
  </conditionalFormatting>
  <conditionalFormatting sqref="H77:H104">
    <cfRule type="cellIs" dxfId="19" priority="21" operator="lessThan">
      <formula>0</formula>
    </cfRule>
  </conditionalFormatting>
  <conditionalFormatting sqref="H107:H114">
    <cfRule type="cellIs" dxfId="18" priority="18" operator="lessThan">
      <formula>0</formula>
    </cfRule>
  </conditionalFormatting>
  <conditionalFormatting sqref="H107:H114">
    <cfRule type="cellIs" dxfId="17" priority="19" operator="lessThan">
      <formula>0</formula>
    </cfRule>
  </conditionalFormatting>
  <conditionalFormatting sqref="H117:H123">
    <cfRule type="cellIs" dxfId="16" priority="16" operator="lessThan">
      <formula>0</formula>
    </cfRule>
  </conditionalFormatting>
  <conditionalFormatting sqref="H117:H123">
    <cfRule type="cellIs" dxfId="15" priority="17" operator="lessThan">
      <formula>0</formula>
    </cfRule>
  </conditionalFormatting>
  <conditionalFormatting sqref="H126:H130">
    <cfRule type="cellIs" dxfId="14" priority="14" operator="lessThan">
      <formula>0</formula>
    </cfRule>
  </conditionalFormatting>
  <conditionalFormatting sqref="H126:H130">
    <cfRule type="cellIs" dxfId="13" priority="15" operator="lessThan">
      <formula>0</formula>
    </cfRule>
  </conditionalFormatting>
  <conditionalFormatting sqref="H133:H154">
    <cfRule type="cellIs" dxfId="12" priority="12" operator="lessThan">
      <formula>0</formula>
    </cfRule>
  </conditionalFormatting>
  <conditionalFormatting sqref="H133:H154">
    <cfRule type="cellIs" dxfId="11" priority="13" operator="lessThan">
      <formula>0</formula>
    </cfRule>
  </conditionalFormatting>
  <conditionalFormatting sqref="G17:G18">
    <cfRule type="cellIs" dxfId="10" priority="11" operator="lessThan">
      <formula>0</formula>
    </cfRule>
  </conditionalFormatting>
  <conditionalFormatting sqref="G22:G29">
    <cfRule type="cellIs" dxfId="9" priority="10" operator="lessThan">
      <formula>0</formula>
    </cfRule>
  </conditionalFormatting>
  <conditionalFormatting sqref="G32:G64">
    <cfRule type="cellIs" dxfId="8" priority="9" operator="lessThan">
      <formula>0</formula>
    </cfRule>
  </conditionalFormatting>
  <conditionalFormatting sqref="G67:G74">
    <cfRule type="cellIs" dxfId="7" priority="8" operator="lessThan">
      <formula>0</formula>
    </cfRule>
  </conditionalFormatting>
  <conditionalFormatting sqref="G77:G104">
    <cfRule type="cellIs" dxfId="6" priority="7" operator="lessThan">
      <formula>0</formula>
    </cfRule>
  </conditionalFormatting>
  <conditionalFormatting sqref="G107:G114">
    <cfRule type="cellIs" dxfId="5" priority="6" operator="lessThan">
      <formula>0</formula>
    </cfRule>
  </conditionalFormatting>
  <conditionalFormatting sqref="G117:G123">
    <cfRule type="cellIs" dxfId="4" priority="5" operator="lessThan">
      <formula>0</formula>
    </cfRule>
  </conditionalFormatting>
  <conditionalFormatting sqref="G126:G130">
    <cfRule type="cellIs" dxfId="3" priority="4" operator="lessThan">
      <formula>0</formula>
    </cfRule>
  </conditionalFormatting>
  <conditionalFormatting sqref="G133:G153">
    <cfRule type="cellIs" dxfId="2" priority="3" operator="lessThan">
      <formula>0</formula>
    </cfRule>
  </conditionalFormatting>
  <conditionalFormatting sqref="F14:F16">
    <cfRule type="cellIs" dxfId="1" priority="1" operator="lessThan">
      <formula>0</formula>
    </cfRule>
  </conditionalFormatting>
  <conditionalFormatting sqref="F9:F13">
    <cfRule type="cellIs" dxfId="0" priority="2"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6" man="1"/>
    <brk id="13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3"/>
  <sheetViews>
    <sheetView workbookViewId="0">
      <selection activeCell="C4" sqref="C4:I6"/>
    </sheetView>
  </sheetViews>
  <sheetFormatPr defaultRowHeight="15" x14ac:dyDescent="0.25"/>
  <cols>
    <col min="3" max="3" width="23.28515625" customWidth="1"/>
    <col min="4" max="4" width="20.5703125" customWidth="1"/>
    <col min="5" max="5" width="24.28515625" customWidth="1"/>
    <col min="6" max="6" width="22.5703125" customWidth="1"/>
    <col min="7" max="7" width="26.7109375" customWidth="1"/>
    <col min="8" max="8" width="29.28515625" customWidth="1"/>
    <col min="9" max="9" width="13.7109375" customWidth="1"/>
    <col min="10" max="10" width="13.42578125" customWidth="1"/>
  </cols>
  <sheetData>
    <row r="3" spans="3:12" ht="15.75" thickBot="1" x14ac:dyDescent="0.3"/>
    <row r="4" spans="3:12" ht="15.75" thickBot="1" x14ac:dyDescent="0.3">
      <c r="D4" s="253" t="s">
        <v>398</v>
      </c>
      <c r="E4" s="254"/>
      <c r="F4" s="255"/>
    </row>
    <row r="5" spans="3:12" x14ac:dyDescent="0.25">
      <c r="C5" s="256" t="s">
        <v>444</v>
      </c>
      <c r="D5" s="257"/>
      <c r="E5" s="257"/>
      <c r="F5" s="257"/>
      <c r="G5" s="258"/>
      <c r="H5" s="259"/>
      <c r="L5" t="s">
        <v>442</v>
      </c>
    </row>
    <row r="6" spans="3:12" x14ac:dyDescent="0.25">
      <c r="C6" s="193" t="s">
        <v>375</v>
      </c>
      <c r="D6" s="193"/>
      <c r="E6" s="193" t="s">
        <v>186</v>
      </c>
      <c r="F6" s="193" t="s">
        <v>187</v>
      </c>
      <c r="G6" s="193" t="s">
        <v>188</v>
      </c>
      <c r="H6" s="193" t="s">
        <v>443</v>
      </c>
      <c r="I6" s="203" t="s">
        <v>445</v>
      </c>
      <c r="L6" s="144">
        <v>4151.4999999999991</v>
      </c>
    </row>
    <row r="7" spans="3:12" x14ac:dyDescent="0.25">
      <c r="C7" s="114" t="s">
        <v>183</v>
      </c>
      <c r="D7" s="144"/>
      <c r="E7" s="144">
        <f>4780+2600+2450</f>
        <v>9830</v>
      </c>
      <c r="F7" s="144">
        <f>+'seshpur adharganj'!K4+'Atarsand- PR'!J2+1324</f>
        <v>7965.9999999999991</v>
      </c>
      <c r="G7" s="144">
        <f>+E7-F7</f>
        <v>1864.0000000000009</v>
      </c>
      <c r="H7" s="202">
        <v>1850</v>
      </c>
      <c r="I7" s="260" t="s">
        <v>446</v>
      </c>
      <c r="L7" s="144">
        <v>2405.2999999999997</v>
      </c>
    </row>
    <row r="8" spans="3:12" x14ac:dyDescent="0.25">
      <c r="C8" s="114" t="s">
        <v>191</v>
      </c>
      <c r="D8" s="144"/>
      <c r="E8" s="144">
        <f>+'seshpur adharganj'!M10+'Atarsand- PR'!L8+2150</f>
        <v>8000</v>
      </c>
      <c r="F8" s="144">
        <f>+'seshpur adharganj'!L4+'Atarsand- PR'!L8+1334</f>
        <v>6989.3</v>
      </c>
      <c r="G8" s="144">
        <f t="shared" ref="G8:G12" si="0">+E8-F8</f>
        <v>1010.6999999999998</v>
      </c>
      <c r="H8" s="202">
        <v>1350</v>
      </c>
      <c r="I8" s="261"/>
      <c r="L8" s="144">
        <v>715.5</v>
      </c>
    </row>
    <row r="9" spans="3:12" x14ac:dyDescent="0.25">
      <c r="C9" s="114" t="s">
        <v>192</v>
      </c>
      <c r="D9" s="144"/>
      <c r="E9" s="144">
        <f>+'seshpur adharganj'!M11+'Atarsand- PR'!L9+900</f>
        <v>2700</v>
      </c>
      <c r="F9" s="144">
        <f>+'seshpur adharganj'!N11+'Atarsand- PR'!L2+1069</f>
        <v>2807.1000000000004</v>
      </c>
      <c r="G9" s="144">
        <f t="shared" si="0"/>
        <v>-107.10000000000036</v>
      </c>
      <c r="H9" s="202"/>
      <c r="I9" s="261"/>
      <c r="L9" s="144">
        <v>2122.3000000000002</v>
      </c>
    </row>
    <row r="10" spans="3:12" x14ac:dyDescent="0.25">
      <c r="C10" s="114" t="s">
        <v>193</v>
      </c>
      <c r="D10" s="144"/>
      <c r="E10" s="144">
        <f>+'seshpur adharganj'!M12+'Atarsand- PR'!L10+1050</f>
        <v>5650</v>
      </c>
      <c r="F10" s="144">
        <f>+'seshpur adharganj'!N4+'Atarsand- PR'!M2+766</f>
        <v>5566.7000000000007</v>
      </c>
      <c r="G10" s="144">
        <f t="shared" si="0"/>
        <v>83.299999999999272</v>
      </c>
      <c r="H10" s="202">
        <v>84</v>
      </c>
      <c r="I10" s="261"/>
      <c r="L10" s="144">
        <v>2603.1000000000008</v>
      </c>
    </row>
    <row r="11" spans="3:12" x14ac:dyDescent="0.25">
      <c r="C11" s="114" t="s">
        <v>195</v>
      </c>
      <c r="D11" s="144"/>
      <c r="E11" s="144">
        <f>+'seshpur adharganj'!M13+'Atarsand- PR'!L11+'SURYAGARH JAGANNATH (2)'!K12</f>
        <v>4326</v>
      </c>
      <c r="F11" s="144">
        <f>+'SURYAGARH JAGANNATH (2)'!L12+'seshpur adharganj'!N13+'Atarsand- PR'!M11</f>
        <v>3998.1000000000008</v>
      </c>
      <c r="G11" s="202">
        <f t="shared" si="0"/>
        <v>327.89999999999918</v>
      </c>
      <c r="H11" s="202">
        <f>8*12</f>
        <v>96</v>
      </c>
      <c r="I11" s="261"/>
      <c r="L11" s="144">
        <v>166.8</v>
      </c>
    </row>
    <row r="12" spans="3:12" x14ac:dyDescent="0.25">
      <c r="C12" s="114" t="s">
        <v>196</v>
      </c>
      <c r="D12" s="144"/>
      <c r="E12" s="144">
        <f>+'seshpur adharganj'!M14+'Atarsand- PR'!L12</f>
        <v>2400</v>
      </c>
      <c r="F12" s="144">
        <f>+'seshpur adharganj'!N14+'Atarsand- PR'!M12</f>
        <v>2257.8000000000002</v>
      </c>
      <c r="G12" s="202">
        <f t="shared" si="0"/>
        <v>142.19999999999982</v>
      </c>
      <c r="H12" s="114"/>
      <c r="I12" s="261"/>
    </row>
    <row r="13" spans="3:12" x14ac:dyDescent="0.25">
      <c r="C13" s="114"/>
      <c r="D13" s="114"/>
      <c r="E13" s="114"/>
      <c r="F13" s="114"/>
      <c r="G13" s="114"/>
      <c r="H13" s="114"/>
      <c r="I13" s="262"/>
    </row>
  </sheetData>
  <mergeCells count="3">
    <mergeCell ref="D4:F4"/>
    <mergeCell ref="C5:H5"/>
    <mergeCell ref="I7:I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21"/>
  <sheetViews>
    <sheetView tabSelected="1" workbookViewId="0">
      <selection activeCell="H17" sqref="H17"/>
    </sheetView>
  </sheetViews>
  <sheetFormatPr defaultRowHeight="15" x14ac:dyDescent="0.25"/>
  <cols>
    <col min="3" max="3" width="14.28515625" customWidth="1"/>
    <col min="4" max="4" width="17.140625" customWidth="1"/>
    <col min="5" max="5" width="14.85546875" customWidth="1"/>
    <col min="6" max="6" width="27" customWidth="1"/>
    <col min="7" max="7" width="30.7109375" customWidth="1"/>
    <col min="8" max="8" width="17.28515625" customWidth="1"/>
    <col min="12" max="12" width="20.5703125" customWidth="1"/>
    <col min="13" max="13" width="14.140625" customWidth="1"/>
    <col min="14" max="14" width="15.85546875" customWidth="1"/>
  </cols>
  <sheetData>
    <row r="4" spans="3:14" x14ac:dyDescent="0.25">
      <c r="C4" s="256" t="s">
        <v>447</v>
      </c>
      <c r="D4" s="258"/>
      <c r="E4" s="258"/>
      <c r="F4" s="258"/>
      <c r="G4" s="258"/>
      <c r="H4" s="259"/>
    </row>
    <row r="5" spans="3:14" x14ac:dyDescent="0.25">
      <c r="C5" s="263" t="s">
        <v>448</v>
      </c>
      <c r="D5" s="263"/>
      <c r="E5" s="263"/>
      <c r="F5" s="263"/>
      <c r="G5" s="263"/>
      <c r="H5" s="263"/>
      <c r="L5" t="s">
        <v>449</v>
      </c>
    </row>
    <row r="6" spans="3:14" x14ac:dyDescent="0.25">
      <c r="C6" s="193" t="s">
        <v>375</v>
      </c>
      <c r="D6" s="193" t="s">
        <v>186</v>
      </c>
      <c r="E6" s="193" t="s">
        <v>187</v>
      </c>
      <c r="F6" s="193" t="s">
        <v>188</v>
      </c>
      <c r="G6" s="193" t="s">
        <v>443</v>
      </c>
      <c r="H6" s="203" t="s">
        <v>370</v>
      </c>
      <c r="K6" s="202"/>
      <c r="L6" s="202" t="s">
        <v>452</v>
      </c>
    </row>
    <row r="7" spans="3:14" x14ac:dyDescent="0.25">
      <c r="C7" s="202">
        <v>63</v>
      </c>
      <c r="D7" s="202">
        <f>650+300+1300+350+1950+2450+400+3000+2700+1124+900+987+1157+1100+1180+2384+1000+1000+300+900+300+N7</f>
        <v>26424.799999999999</v>
      </c>
      <c r="E7" s="202">
        <f>2674.2+10351.9+1022.7+12635+513.2</f>
        <v>27197</v>
      </c>
      <c r="F7" s="202">
        <f>+D7-E7</f>
        <v>-772.20000000000073</v>
      </c>
      <c r="G7" s="202">
        <v>362</v>
      </c>
      <c r="H7" s="202"/>
      <c r="K7" s="202">
        <v>63</v>
      </c>
      <c r="L7" s="202">
        <f>1300+2400+1800+2550+3850+1800+1500+123</f>
        <v>15323</v>
      </c>
      <c r="M7">
        <v>14330.2</v>
      </c>
      <c r="N7">
        <f>+L7-M7</f>
        <v>992.79999999999927</v>
      </c>
    </row>
    <row r="8" spans="3:14" x14ac:dyDescent="0.25">
      <c r="C8" s="202">
        <v>75</v>
      </c>
      <c r="D8" s="202">
        <f>450+300+600+800+1200+25+400</f>
        <v>3775</v>
      </c>
      <c r="E8" s="202">
        <f>1248.5+2054.4+400</f>
        <v>3702.9</v>
      </c>
      <c r="F8" s="202">
        <f t="shared" ref="F8:F14" si="0">+D8-E8</f>
        <v>72.099999999999909</v>
      </c>
      <c r="G8" s="202">
        <v>80</v>
      </c>
      <c r="H8" s="202">
        <f>+F8-G8</f>
        <v>-7.9000000000000909</v>
      </c>
      <c r="K8" s="202">
        <v>75</v>
      </c>
      <c r="L8" s="202">
        <v>900</v>
      </c>
    </row>
    <row r="9" spans="3:14" x14ac:dyDescent="0.25">
      <c r="C9" s="202">
        <v>90</v>
      </c>
      <c r="D9" s="202">
        <f>2500+2100+400+600+15</f>
        <v>5615</v>
      </c>
      <c r="E9" s="202">
        <f>3674.5+1402.8+44</f>
        <v>5121.3</v>
      </c>
      <c r="F9" s="202">
        <f t="shared" si="0"/>
        <v>493.69999999999982</v>
      </c>
      <c r="G9" s="202"/>
      <c r="H9" s="202">
        <f t="shared" ref="H9:H13" si="1">+F9-G9</f>
        <v>493.69999999999982</v>
      </c>
      <c r="K9" s="202">
        <v>90</v>
      </c>
      <c r="L9" s="202">
        <f>300+295</f>
        <v>595</v>
      </c>
    </row>
    <row r="10" spans="3:14" x14ac:dyDescent="0.25">
      <c r="C10" s="202">
        <v>110</v>
      </c>
      <c r="D10" s="202">
        <f>900+300+875+1000+400+100</f>
        <v>3575</v>
      </c>
      <c r="E10" s="202">
        <f>1384.25+1819.6+65</f>
        <v>3268.85</v>
      </c>
      <c r="F10" s="202">
        <f t="shared" si="0"/>
        <v>306.15000000000009</v>
      </c>
      <c r="G10" s="202">
        <v>58</v>
      </c>
      <c r="H10" s="202">
        <f t="shared" si="1"/>
        <v>248.15000000000009</v>
      </c>
      <c r="K10" s="202">
        <v>110</v>
      </c>
      <c r="L10" s="202">
        <f>450+4</f>
        <v>454</v>
      </c>
    </row>
    <row r="11" spans="3:14" x14ac:dyDescent="0.25">
      <c r="C11" s="202">
        <v>125</v>
      </c>
      <c r="D11" s="202">
        <v>744</v>
      </c>
      <c r="E11" s="202">
        <v>528</v>
      </c>
      <c r="F11" s="202">
        <f t="shared" si="0"/>
        <v>216</v>
      </c>
      <c r="G11" s="202"/>
      <c r="H11" s="202">
        <f t="shared" si="1"/>
        <v>216</v>
      </c>
      <c r="K11" s="202">
        <v>125</v>
      </c>
      <c r="L11" s="202">
        <f>444+5.5</f>
        <v>449.5</v>
      </c>
    </row>
    <row r="12" spans="3:14" x14ac:dyDescent="0.25">
      <c r="C12" s="202">
        <v>140</v>
      </c>
      <c r="D12" s="202">
        <f>1092+720</f>
        <v>1812</v>
      </c>
      <c r="E12" s="202">
        <f>982+629</f>
        <v>1611</v>
      </c>
      <c r="F12" s="202">
        <f t="shared" si="0"/>
        <v>201</v>
      </c>
      <c r="G12" s="202">
        <v>110</v>
      </c>
      <c r="H12" s="202">
        <f t="shared" si="1"/>
        <v>91</v>
      </c>
      <c r="K12" s="202">
        <v>140</v>
      </c>
      <c r="L12" s="202">
        <v>324</v>
      </c>
    </row>
    <row r="13" spans="3:14" x14ac:dyDescent="0.25">
      <c r="C13" s="202">
        <v>160</v>
      </c>
      <c r="D13" s="202">
        <f>240+360+792+288+1800+480+2400</f>
        <v>6360</v>
      </c>
      <c r="E13" s="202">
        <f>3400.65+228+2618.9</f>
        <v>6247.55</v>
      </c>
      <c r="F13" s="202">
        <f t="shared" si="0"/>
        <v>112.44999999999982</v>
      </c>
      <c r="G13" s="202"/>
      <c r="H13" s="202">
        <f t="shared" si="1"/>
        <v>112.44999999999982</v>
      </c>
      <c r="K13" s="202"/>
      <c r="L13" s="202"/>
    </row>
    <row r="14" spans="3:14" x14ac:dyDescent="0.25">
      <c r="C14" s="202">
        <v>200</v>
      </c>
      <c r="D14" s="202">
        <f>960+1080+792+600</f>
        <v>3432</v>
      </c>
      <c r="E14" s="202">
        <v>2735.5</v>
      </c>
      <c r="F14" s="202">
        <f t="shared" si="0"/>
        <v>696.5</v>
      </c>
      <c r="G14" s="202" t="s">
        <v>451</v>
      </c>
      <c r="H14" s="202"/>
      <c r="K14" s="202"/>
      <c r="L14" s="202">
        <f>SUM(L7:L13)</f>
        <v>18045.5</v>
      </c>
    </row>
    <row r="15" spans="3:14" x14ac:dyDescent="0.25">
      <c r="D15">
        <f>SUM(D7:D14)</f>
        <v>51737.8</v>
      </c>
      <c r="E15">
        <f>SUM(E7:E14)</f>
        <v>50412.100000000006</v>
      </c>
      <c r="G15" t="s">
        <v>450</v>
      </c>
    </row>
    <row r="21" spans="9:9" x14ac:dyDescent="0.25">
      <c r="I21">
        <f>41527-40755</f>
        <v>772</v>
      </c>
    </row>
  </sheetData>
  <mergeCells count="2">
    <mergeCell ref="C5:H5"/>
    <mergeCell ref="C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SURYAGARH JAGANNATH (2)</vt:lpstr>
      <vt:lpstr>seshpur adharganj</vt:lpstr>
      <vt:lpstr>Atarsand- PR</vt:lpstr>
      <vt:lpstr>Sakra</vt:lpstr>
      <vt:lpstr>aurangabad</vt:lpstr>
      <vt:lpstr>PR ENTERPRISES</vt:lpstr>
      <vt:lpstr>ags construction</vt:lpstr>
      <vt:lpstr>'Atarsand- PR'!Print_Area</vt:lpstr>
      <vt:lpstr>aurangabad!Print_Area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2024-10-14T10:00:04Z</dcterms:modified>
</cp:coreProperties>
</file>