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anwesh\"/>
    </mc:Choice>
  </mc:AlternateContent>
  <bookViews>
    <workbookView xWindow="0" yWindow="0" windowWidth="24000" windowHeight="9120" firstSheet="16" activeTab="23"/>
  </bookViews>
  <sheets>
    <sheet name="Sheet1" sheetId="1" r:id="rId1"/>
    <sheet name="SAKRA" sheetId="2" r:id="rId2"/>
    <sheet name="ATTARASAND-PR" sheetId="3" r:id="rId3"/>
    <sheet name="ATTARSAND -AGS" sheetId="4" r:id="rId4"/>
    <sheet name="ATTARSAND-KHAYATHI" sheetId="5" r:id="rId5"/>
    <sheet name="GEHRAULI" sheetId="6" r:id="rId6"/>
    <sheet name="ATTARSAND-AGS" sheetId="7" r:id="rId7"/>
    <sheet name="sekhpur adharganj" sheetId="8" r:id="rId8"/>
    <sheet name="SARAI JAMMUVARI" sheetId="9" r:id="rId9"/>
    <sheet name="MANDHA BHOJI" sheetId="10" r:id="rId10"/>
    <sheet name="attarsand pr" sheetId="11" r:id="rId11"/>
    <sheet name="PUREBHIKA AND RAIGARH" sheetId="12" r:id="rId12"/>
    <sheet name="attarasand khayathi " sheetId="13" r:id="rId13"/>
    <sheet name="MALAAK" sheetId="14" r:id="rId14"/>
    <sheet name="Dehri digar" sheetId="15" r:id="rId15"/>
    <sheet name="sarsidih" sheetId="17" r:id="rId16"/>
    <sheet name="Attarsand AK" sheetId="19" r:id="rId17"/>
    <sheet name="Kansapatti" sheetId="20" r:id="rId18"/>
    <sheet name="Dharouli" sheetId="21" r:id="rId19"/>
    <sheet name="Lauli poktakham" sheetId="22" r:id="rId20"/>
    <sheet name="Puremanikanth" sheetId="23" r:id="rId21"/>
    <sheet name="Choumari" sheetId="25" r:id="rId22"/>
    <sheet name="Bhaidpur" sheetId="27" r:id="rId23"/>
    <sheet name="Amuwahi" sheetId="28" r:id="rId24"/>
  </sheets>
  <externalReferences>
    <externalReference r:id="rId25"/>
  </externalReferences>
  <definedNames>
    <definedName name="_xlnm._FilterDatabase" localSheetId="12" hidden="1">'attarasand khayathi '!$AA$16:$AE$60</definedName>
    <definedName name="_xlnm._FilterDatabase" localSheetId="3" hidden="1">'ATTARSAND -AGS'!$AD$13:$AE$57</definedName>
    <definedName name="_xlnm._FilterDatabase" localSheetId="10" hidden="1">'attarsand pr'!$Q$13:$R$78</definedName>
    <definedName name="_xlnm._FilterDatabase" localSheetId="7" hidden="1">'sekhpur adharganj'!$AQ$13:$AR$93</definedName>
    <definedName name="_xlnm.Print_Area" localSheetId="2">'ATTARASAND-PR'!$A$1:$L$21</definedName>
    <definedName name="_xlnm.Print_Area" localSheetId="3">'ATTARSAND -AGS'!$A$1:$L$21</definedName>
    <definedName name="_xlnm.Print_Area" localSheetId="10">'attarsand pr'!$A$1:$L$65</definedName>
    <definedName name="_xlnm.Print_Area" localSheetId="4">'ATTARSAND-KHAYATHI'!$A$1:$L$37</definedName>
    <definedName name="_xlnm.Print_Area" localSheetId="21">Choumari!$C$282:$N$346</definedName>
    <definedName name="_xlnm.Print_Area" localSheetId="14">'Dehri digar'!$AI$5:$AT$52</definedName>
    <definedName name="_xlnm.Print_Area" localSheetId="5">GEHRAULI!$A$1:$L$20</definedName>
    <definedName name="_xlnm.Print_Area" localSheetId="11">'PUREBHIKA AND RAIGARH'!$A$1:$AZ$360</definedName>
    <definedName name="_xlnm.Print_Area" localSheetId="1">SAKRA!$A$1:$L$21</definedName>
    <definedName name="_xlnm.Print_Area" localSheetId="8">'SARAI JAMMUVARI'!$O$1:$Z$30</definedName>
    <definedName name="_xlnm.Print_Area" localSheetId="15">sarsidih!$Q$2:$AB$73</definedName>
    <definedName name="_xlnm.Print_Area" localSheetId="7">'sekhpur adharganj'!$A$1:$AN$56</definedName>
    <definedName name="_xlnm.Print_Titles" localSheetId="11">'PUREBHIKA AND RAIGARH'!$13:$14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57" i="28" l="1"/>
  <c r="D258" i="28" s="1"/>
  <c r="D259" i="28" s="1"/>
  <c r="D260" i="28" s="1"/>
  <c r="D261" i="28" s="1"/>
  <c r="D262" i="28" s="1"/>
  <c r="D263" i="28" s="1"/>
  <c r="D264" i="28" s="1"/>
  <c r="D265" i="28" s="1"/>
  <c r="D266" i="28" s="1"/>
  <c r="D267" i="28" s="1"/>
  <c r="D268" i="28" s="1"/>
  <c r="D269" i="28" s="1"/>
  <c r="D270" i="28" s="1"/>
  <c r="D271" i="28" s="1"/>
  <c r="D272" i="28" s="1"/>
  <c r="D273" i="28" s="1"/>
  <c r="D274" i="28" s="1"/>
  <c r="D275" i="28" s="1"/>
  <c r="D276" i="28" s="1"/>
  <c r="D277" i="28" s="1"/>
  <c r="D278" i="28" s="1"/>
  <c r="D279" i="28" s="1"/>
  <c r="D280" i="28" s="1"/>
  <c r="D281" i="28" s="1"/>
  <c r="D282" i="28" s="1"/>
  <c r="D283" i="28" s="1"/>
  <c r="D284" i="28" s="1"/>
  <c r="D285" i="28" s="1"/>
  <c r="D286" i="28" s="1"/>
  <c r="D287" i="28" s="1"/>
  <c r="D288" i="28" s="1"/>
  <c r="D289" i="28" s="1"/>
  <c r="D290" i="28" s="1"/>
  <c r="D291" i="28" s="1"/>
  <c r="D292" i="28" s="1"/>
  <c r="D293" i="28" s="1"/>
  <c r="D294" i="28" s="1"/>
  <c r="D295" i="28" s="1"/>
  <c r="D296" i="28" s="1"/>
  <c r="D297" i="28" s="1"/>
  <c r="D298" i="28" s="1"/>
  <c r="D299" i="28" s="1"/>
  <c r="D300" i="28" s="1"/>
  <c r="D301" i="28" s="1"/>
  <c r="D180" i="28"/>
  <c r="D181" i="28" s="1"/>
  <c r="D182" i="28" s="1"/>
  <c r="D183" i="28" s="1"/>
  <c r="D184" i="28" s="1"/>
  <c r="D185" i="28" s="1"/>
  <c r="D186" i="28" s="1"/>
  <c r="D187" i="28" s="1"/>
  <c r="D188" i="28" s="1"/>
  <c r="D189" i="28" s="1"/>
  <c r="D190" i="28" s="1"/>
  <c r="D191" i="28" s="1"/>
  <c r="D192" i="28" s="1"/>
  <c r="D193" i="28" s="1"/>
  <c r="D194" i="28" s="1"/>
  <c r="D195" i="28" s="1"/>
  <c r="D196" i="28" s="1"/>
  <c r="D197" i="28" s="1"/>
  <c r="D198" i="28" s="1"/>
  <c r="D199" i="28" s="1"/>
  <c r="D200" i="28" s="1"/>
  <c r="D201" i="28" s="1"/>
  <c r="D202" i="28" s="1"/>
  <c r="D203" i="28" s="1"/>
  <c r="D204" i="28" s="1"/>
  <c r="D205" i="28" s="1"/>
  <c r="D206" i="28" s="1"/>
  <c r="D207" i="28" s="1"/>
  <c r="D208" i="28" s="1"/>
  <c r="I185" i="28"/>
  <c r="D164" i="28"/>
  <c r="D165" i="28" s="1"/>
  <c r="D166" i="28" s="1"/>
  <c r="D167" i="28" s="1"/>
  <c r="D168" i="28" s="1"/>
  <c r="D169" i="28" s="1"/>
  <c r="D170" i="28" s="1"/>
  <c r="D171" i="28" s="1"/>
  <c r="D172" i="28" s="1"/>
  <c r="D173" i="28" s="1"/>
  <c r="D174" i="28" s="1"/>
  <c r="D175" i="28" s="1"/>
  <c r="D176" i="28" s="1"/>
  <c r="D177" i="28" s="1"/>
  <c r="D178" i="28" s="1"/>
  <c r="D179" i="28" s="1"/>
  <c r="D100" i="28" l="1"/>
  <c r="D101" i="28" s="1"/>
  <c r="D102" i="28" s="1"/>
  <c r="D103" i="28" s="1"/>
  <c r="D104" i="28" s="1"/>
  <c r="D105" i="28" s="1"/>
  <c r="D106" i="28" s="1"/>
  <c r="D107" i="28" s="1"/>
  <c r="D108" i="28" s="1"/>
  <c r="D109" i="28" s="1"/>
  <c r="D110" i="28" s="1"/>
  <c r="D111" i="28" s="1"/>
  <c r="D112" i="28" s="1"/>
  <c r="D113" i="28" s="1"/>
  <c r="D114" i="28" s="1"/>
  <c r="D115" i="28" s="1"/>
  <c r="D20" i="28"/>
  <c r="D21" i="28" s="1"/>
  <c r="D22" i="28" s="1"/>
  <c r="D23" i="28" s="1"/>
  <c r="D24" i="28" s="1"/>
  <c r="D25" i="28" s="1"/>
  <c r="D26" i="28" s="1"/>
  <c r="D27" i="28" s="1"/>
  <c r="D28" i="28" s="1"/>
  <c r="D29" i="28" s="1"/>
  <c r="D30" i="28" s="1"/>
  <c r="D31" i="28" s="1"/>
  <c r="D32" i="28" s="1"/>
  <c r="D33" i="28" s="1"/>
  <c r="D34" i="28" s="1"/>
  <c r="D35" i="28" s="1"/>
  <c r="D36" i="28" s="1"/>
  <c r="D37" i="28" s="1"/>
  <c r="D38" i="28" s="1"/>
  <c r="D39" i="28" s="1"/>
  <c r="D40" i="28" s="1"/>
  <c r="D41" i="28" s="1"/>
  <c r="D42" i="28" s="1"/>
  <c r="D43" i="28" s="1"/>
  <c r="D44" i="28" s="1"/>
  <c r="D45" i="28" s="1"/>
  <c r="D46" i="28" s="1"/>
  <c r="D47" i="28" s="1"/>
  <c r="D48" i="28" s="1"/>
  <c r="D49" i="28" s="1"/>
  <c r="D50" i="28" s="1"/>
  <c r="D51" i="28" s="1"/>
  <c r="D52" i="28" s="1"/>
  <c r="D53" i="28" s="1"/>
  <c r="D54" i="28" s="1"/>
  <c r="D55" i="28" s="1"/>
  <c r="D56" i="28" s="1"/>
  <c r="D57" i="28" s="1"/>
  <c r="D58" i="28" s="1"/>
  <c r="D59" i="28" s="1"/>
  <c r="D60" i="28" s="1"/>
  <c r="D61" i="28" s="1"/>
  <c r="D62" i="28" s="1"/>
  <c r="C133" i="27" l="1"/>
  <c r="C134" i="27" s="1"/>
  <c r="C135" i="27" s="1"/>
  <c r="C136" i="27" s="1"/>
  <c r="C137" i="27" s="1"/>
  <c r="C138" i="27" s="1"/>
  <c r="C139" i="27" s="1"/>
  <c r="C140" i="27" s="1"/>
  <c r="C73" i="27"/>
  <c r="C74" i="27" s="1"/>
  <c r="C75" i="27" s="1"/>
  <c r="C76" i="27" s="1"/>
  <c r="C77" i="27" s="1"/>
  <c r="H222" i="27" l="1"/>
  <c r="H26" i="27" l="1"/>
  <c r="H100" i="27"/>
  <c r="H161" i="27"/>
  <c r="H142" i="27" l="1"/>
  <c r="H163" i="27"/>
  <c r="H172" i="27"/>
  <c r="H181" i="27"/>
  <c r="H184" i="27"/>
  <c r="H95" i="27"/>
  <c r="H96" i="27"/>
  <c r="H103" i="27"/>
  <c r="H94" i="27"/>
  <c r="H93" i="27"/>
  <c r="H92" i="27"/>
  <c r="H86" i="27"/>
  <c r="H82" i="27"/>
  <c r="H36" i="27"/>
  <c r="H243" i="27" l="1"/>
  <c r="H240" i="27"/>
  <c r="C141" i="27"/>
  <c r="C142" i="27" s="1"/>
  <c r="C143" i="27" s="1"/>
  <c r="C144" i="27" s="1"/>
  <c r="C145" i="27" s="1"/>
  <c r="C146" i="27" s="1"/>
  <c r="C147" i="27" s="1"/>
  <c r="C148" i="27" s="1"/>
  <c r="C149" i="27" s="1"/>
  <c r="C150" i="27" s="1"/>
  <c r="C151" i="27" s="1"/>
  <c r="C152" i="27" s="1"/>
  <c r="C153" i="27" s="1"/>
  <c r="C154" i="27" s="1"/>
  <c r="C155" i="27" s="1"/>
  <c r="C156" i="27" s="1"/>
  <c r="C157" i="27" s="1"/>
  <c r="C158" i="27" s="1"/>
  <c r="C159" i="27" s="1"/>
  <c r="C160" i="27" s="1"/>
  <c r="C161" i="27" s="1"/>
  <c r="C162" i="27" s="1"/>
  <c r="C163" i="27" s="1"/>
  <c r="C164" i="27" s="1"/>
  <c r="C165" i="27" s="1"/>
  <c r="C166" i="27" s="1"/>
  <c r="C167" i="27" s="1"/>
  <c r="C168" i="27" s="1"/>
  <c r="C169" i="27" s="1"/>
  <c r="C170" i="27" s="1"/>
  <c r="C171" i="27" s="1"/>
  <c r="C172" i="27" s="1"/>
  <c r="C173" i="27" s="1"/>
  <c r="C174" i="27" s="1"/>
  <c r="C175" i="27" s="1"/>
  <c r="C176" i="27" s="1"/>
  <c r="C177" i="27" s="1"/>
  <c r="C178" i="27" s="1"/>
  <c r="C179" i="27" s="1"/>
  <c r="C180" i="27" s="1"/>
  <c r="C181" i="27" s="1"/>
  <c r="C182" i="27" s="1"/>
  <c r="C183" i="27" s="1"/>
  <c r="C184" i="27" s="1"/>
  <c r="H177" i="27"/>
  <c r="H152" i="27"/>
  <c r="H89" i="27"/>
  <c r="H74" i="27"/>
  <c r="C209" i="27"/>
  <c r="C210" i="27" s="1"/>
  <c r="C211" i="27" s="1"/>
  <c r="C212" i="27" s="1"/>
  <c r="C213" i="27" s="1"/>
  <c r="C214" i="27" s="1"/>
  <c r="C215" i="27" s="1"/>
  <c r="C216" i="27" s="1"/>
  <c r="C217" i="27" s="1"/>
  <c r="C218" i="27" s="1"/>
  <c r="C219" i="27" s="1"/>
  <c r="C220" i="27" s="1"/>
  <c r="C221" i="27" s="1"/>
  <c r="C222" i="27" s="1"/>
  <c r="C78" i="27"/>
  <c r="C79" i="27" s="1"/>
  <c r="C80" i="27" s="1"/>
  <c r="C81" i="27" s="1"/>
  <c r="C19" i="27"/>
  <c r="C20" i="27" s="1"/>
  <c r="C21" i="27" s="1"/>
  <c r="C22" i="27" s="1"/>
  <c r="C23" i="27" s="1"/>
  <c r="C24" i="27" s="1"/>
  <c r="C25" i="27" s="1"/>
  <c r="C26" i="27" s="1"/>
  <c r="C27" i="27" s="1"/>
  <c r="C28" i="27" l="1"/>
  <c r="C29" i="27" s="1"/>
  <c r="C30" i="27" s="1"/>
  <c r="C31" i="27" s="1"/>
  <c r="C32" i="27" s="1"/>
  <c r="C33" i="27" s="1"/>
  <c r="C34" i="27" s="1"/>
  <c r="C35" i="27" s="1"/>
  <c r="C36" i="27" s="1"/>
  <c r="C37" i="27" s="1"/>
  <c r="C38" i="27" s="1"/>
  <c r="C39" i="27" s="1"/>
  <c r="C40" i="27" s="1"/>
  <c r="C41" i="27" s="1"/>
  <c r="C42" i="27" s="1"/>
  <c r="C43" i="27" s="1"/>
  <c r="C44" i="27" s="1"/>
  <c r="C45" i="27" s="1"/>
  <c r="C46" i="27" s="1"/>
  <c r="C47" i="27" s="1"/>
  <c r="C48" i="27" s="1"/>
  <c r="C49" i="27" s="1"/>
  <c r="C223" i="27"/>
  <c r="C224" i="27" s="1"/>
  <c r="C225" i="27" s="1"/>
  <c r="C226" i="27" s="1"/>
  <c r="C227" i="27" s="1"/>
  <c r="C228" i="27" s="1"/>
  <c r="C229" i="27" s="1"/>
  <c r="C230" i="27" s="1"/>
  <c r="C231" i="27" s="1"/>
  <c r="C232" i="27" s="1"/>
  <c r="C233" i="27" s="1"/>
  <c r="C234" i="27" s="1"/>
  <c r="C235" i="27" s="1"/>
  <c r="C236" i="27" s="1"/>
  <c r="C237" i="27" s="1"/>
  <c r="C238" i="27" s="1"/>
  <c r="C239" i="27" s="1"/>
  <c r="C240" i="27" s="1"/>
  <c r="C241" i="27" s="1"/>
  <c r="C242" i="27" s="1"/>
  <c r="C243" i="27" s="1"/>
  <c r="C244" i="27" s="1"/>
  <c r="C245" i="27" s="1"/>
  <c r="C246" i="27" s="1"/>
  <c r="C247" i="27" s="1"/>
  <c r="C248" i="27" s="1"/>
  <c r="C249" i="27" s="1"/>
  <c r="C250" i="27" s="1"/>
  <c r="C82" i="27"/>
  <c r="C83" i="27" s="1"/>
  <c r="C84" i="27" s="1"/>
  <c r="C85" i="27" s="1"/>
  <c r="C225" i="25"/>
  <c r="H224" i="25"/>
  <c r="H225" i="25"/>
  <c r="H248" i="25"/>
  <c r="H252" i="25"/>
  <c r="H254" i="25"/>
  <c r="H261" i="25"/>
  <c r="H272" i="25"/>
  <c r="H339" i="25"/>
  <c r="H338" i="25"/>
  <c r="H337" i="25"/>
  <c r="H336" i="25"/>
  <c r="H335" i="25"/>
  <c r="H334" i="25"/>
  <c r="H333" i="25"/>
  <c r="H332" i="25"/>
  <c r="H330" i="25"/>
  <c r="H324" i="25"/>
  <c r="H323" i="25"/>
  <c r="H321" i="25"/>
  <c r="H319" i="25"/>
  <c r="H316" i="25"/>
  <c r="H314" i="25"/>
  <c r="H313" i="25"/>
  <c r="H311" i="25"/>
  <c r="H309" i="25"/>
  <c r="H307" i="25"/>
  <c r="C297" i="25"/>
  <c r="C298" i="25" s="1"/>
  <c r="C299" i="25" s="1"/>
  <c r="C300" i="25" s="1"/>
  <c r="C301" i="25" s="1"/>
  <c r="C302" i="25" s="1"/>
  <c r="C303" i="25" s="1"/>
  <c r="C304" i="25" s="1"/>
  <c r="C305" i="25" s="1"/>
  <c r="C306" i="25" s="1"/>
  <c r="C307" i="25" s="1"/>
  <c r="C308" i="25" s="1"/>
  <c r="C309" i="25" s="1"/>
  <c r="C310" i="25" s="1"/>
  <c r="C311" i="25" s="1"/>
  <c r="C312" i="25" s="1"/>
  <c r="C313" i="25" s="1"/>
  <c r="C314" i="25" s="1"/>
  <c r="C315" i="25" s="1"/>
  <c r="C316" i="25" s="1"/>
  <c r="C317" i="25" s="1"/>
  <c r="C318" i="25" s="1"/>
  <c r="C319" i="25" s="1"/>
  <c r="C320" i="25" s="1"/>
  <c r="C321" i="25" s="1"/>
  <c r="C322" i="25" s="1"/>
  <c r="C323" i="25" s="1"/>
  <c r="C324" i="25" s="1"/>
  <c r="C325" i="25" s="1"/>
  <c r="C326" i="25" s="1"/>
  <c r="C327" i="25" s="1"/>
  <c r="C328" i="25" s="1"/>
  <c r="C329" i="25" s="1"/>
  <c r="C330" i="25" s="1"/>
  <c r="C331" i="25" s="1"/>
  <c r="C332" i="25" s="1"/>
  <c r="C333" i="25" s="1"/>
  <c r="C334" i="25" s="1"/>
  <c r="C335" i="25" s="1"/>
  <c r="C336" i="25" s="1"/>
  <c r="C337" i="25" s="1"/>
  <c r="C338" i="25" s="1"/>
  <c r="C339" i="25" s="1"/>
  <c r="C226" i="25"/>
  <c r="C227" i="25" s="1"/>
  <c r="C228" i="25" s="1"/>
  <c r="C229" i="25" s="1"/>
  <c r="C230" i="25" s="1"/>
  <c r="C231" i="25" s="1"/>
  <c r="C232" i="25" s="1"/>
  <c r="C233" i="25" s="1"/>
  <c r="C234" i="25" s="1"/>
  <c r="C235" i="25" s="1"/>
  <c r="C236" i="25" s="1"/>
  <c r="C237" i="25" s="1"/>
  <c r="C238" i="25" s="1"/>
  <c r="C239" i="25" s="1"/>
  <c r="C240" i="25" s="1"/>
  <c r="C241" i="25" s="1"/>
  <c r="C242" i="25" s="1"/>
  <c r="C243" i="25" s="1"/>
  <c r="C244" i="25" s="1"/>
  <c r="C245" i="25" s="1"/>
  <c r="C246" i="25" s="1"/>
  <c r="C247" i="25" s="1"/>
  <c r="C248" i="25" s="1"/>
  <c r="C249" i="25" s="1"/>
  <c r="C250" i="25" s="1"/>
  <c r="C251" i="25" s="1"/>
  <c r="C252" i="25" s="1"/>
  <c r="C253" i="25" s="1"/>
  <c r="C254" i="25" s="1"/>
  <c r="C255" i="25" s="1"/>
  <c r="C256" i="25" s="1"/>
  <c r="C257" i="25" s="1"/>
  <c r="C258" i="25" s="1"/>
  <c r="C259" i="25" s="1"/>
  <c r="C260" i="25" s="1"/>
  <c r="C261" i="25" s="1"/>
  <c r="C262" i="25" s="1"/>
  <c r="C263" i="25" s="1"/>
  <c r="C264" i="25" s="1"/>
  <c r="C265" i="25" s="1"/>
  <c r="C266" i="25" s="1"/>
  <c r="C267" i="25" s="1"/>
  <c r="C268" i="25" s="1"/>
  <c r="C269" i="25" s="1"/>
  <c r="C270" i="25" s="1"/>
  <c r="C271" i="25" s="1"/>
  <c r="C272" i="25" s="1"/>
  <c r="C273" i="25" s="1"/>
  <c r="H196" i="25"/>
  <c r="C161" i="25"/>
  <c r="C162" i="25" s="1"/>
  <c r="C163" i="25" s="1"/>
  <c r="C164" i="25" s="1"/>
  <c r="C165" i="25" s="1"/>
  <c r="C166" i="25" s="1"/>
  <c r="C167" i="25" s="1"/>
  <c r="C168" i="25" s="1"/>
  <c r="C169" i="25" s="1"/>
  <c r="C170" i="25" s="1"/>
  <c r="C171" i="25" s="1"/>
  <c r="C172" i="25" s="1"/>
  <c r="C173" i="25" s="1"/>
  <c r="C174" i="25" s="1"/>
  <c r="C175" i="25" s="1"/>
  <c r="C176" i="25" s="1"/>
  <c r="C177" i="25" s="1"/>
  <c r="C178" i="25" s="1"/>
  <c r="C179" i="25" s="1"/>
  <c r="C180" i="25" s="1"/>
  <c r="C181" i="25" s="1"/>
  <c r="C182" i="25" s="1"/>
  <c r="C183" i="25" s="1"/>
  <c r="C184" i="25" s="1"/>
  <c r="C185" i="25" s="1"/>
  <c r="C186" i="25" s="1"/>
  <c r="C187" i="25" s="1"/>
  <c r="C188" i="25" s="1"/>
  <c r="C189" i="25" s="1"/>
  <c r="C190" i="25" s="1"/>
  <c r="C191" i="25" s="1"/>
  <c r="C192" i="25" s="1"/>
  <c r="C193" i="25" s="1"/>
  <c r="C194" i="25" s="1"/>
  <c r="C195" i="25" s="1"/>
  <c r="C196" i="25" s="1"/>
  <c r="C197" i="25" s="1"/>
  <c r="C198" i="25" s="1"/>
  <c r="C199" i="25" s="1"/>
  <c r="C200" i="25" s="1"/>
  <c r="C201" i="25" s="1"/>
  <c r="H119" i="25"/>
  <c r="H110" i="25"/>
  <c r="H105" i="25"/>
  <c r="C91" i="25"/>
  <c r="C92" i="25" s="1"/>
  <c r="C93" i="25" s="1"/>
  <c r="C94" i="25" s="1"/>
  <c r="C95" i="25" s="1"/>
  <c r="C96" i="25" s="1"/>
  <c r="C97" i="25" s="1"/>
  <c r="C98" i="25" s="1"/>
  <c r="C99" i="25" s="1"/>
  <c r="C100" i="25" s="1"/>
  <c r="C101" i="25" s="1"/>
  <c r="C102" i="25" s="1"/>
  <c r="C103" i="25" s="1"/>
  <c r="C104" i="25" s="1"/>
  <c r="C105" i="25" s="1"/>
  <c r="C106" i="25" s="1"/>
  <c r="C107" i="25" s="1"/>
  <c r="C108" i="25" s="1"/>
  <c r="C109" i="25" s="1"/>
  <c r="C110" i="25" s="1"/>
  <c r="C111" i="25" s="1"/>
  <c r="C112" i="25" s="1"/>
  <c r="C113" i="25" s="1"/>
  <c r="C114" i="25" s="1"/>
  <c r="C115" i="25" s="1"/>
  <c r="C116" i="25" s="1"/>
  <c r="C117" i="25" s="1"/>
  <c r="C118" i="25" s="1"/>
  <c r="C119" i="25" s="1"/>
  <c r="C120" i="25" s="1"/>
  <c r="C121" i="25" s="1"/>
  <c r="C122" i="25" s="1"/>
  <c r="C123" i="25" s="1"/>
  <c r="C124" i="25" s="1"/>
  <c r="C125" i="25" s="1"/>
  <c r="C126" i="25" s="1"/>
  <c r="C127" i="25" s="1"/>
  <c r="C128" i="25" s="1"/>
  <c r="C129" i="25" s="1"/>
  <c r="C130" i="25" s="1"/>
  <c r="C131" i="25" s="1"/>
  <c r="C132" i="25" s="1"/>
  <c r="C133" i="25" s="1"/>
  <c r="C134" i="25" s="1"/>
  <c r="C135" i="25" s="1"/>
  <c r="C136" i="25" s="1"/>
  <c r="C137" i="25" s="1"/>
  <c r="H67" i="25"/>
  <c r="H61" i="25"/>
  <c r="H60" i="25"/>
  <c r="H47" i="25"/>
  <c r="H45" i="25"/>
  <c r="H43" i="25"/>
  <c r="H39" i="25"/>
  <c r="H38" i="25"/>
  <c r="H37" i="25"/>
  <c r="H35" i="25"/>
  <c r="H29" i="25"/>
  <c r="H24" i="25"/>
  <c r="C19" i="25"/>
  <c r="C20" i="25" s="1"/>
  <c r="C21" i="25" s="1"/>
  <c r="C22" i="25" s="1"/>
  <c r="C23" i="25" s="1"/>
  <c r="C24" i="25" s="1"/>
  <c r="C25" i="25" s="1"/>
  <c r="C26" i="25" s="1"/>
  <c r="C27" i="25" s="1"/>
  <c r="C28" i="25" s="1"/>
  <c r="C29" i="25" s="1"/>
  <c r="C30" i="25" s="1"/>
  <c r="C31" i="25" s="1"/>
  <c r="C32" i="25" s="1"/>
  <c r="C33" i="25" s="1"/>
  <c r="C34" i="25" s="1"/>
  <c r="C35" i="25" s="1"/>
  <c r="C36" i="25" s="1"/>
  <c r="C37" i="25" s="1"/>
  <c r="C38" i="25" s="1"/>
  <c r="C39" i="25" s="1"/>
  <c r="C40" i="25" s="1"/>
  <c r="C41" i="25" s="1"/>
  <c r="C42" i="25" s="1"/>
  <c r="C43" i="25" s="1"/>
  <c r="C44" i="25" s="1"/>
  <c r="C45" i="25" s="1"/>
  <c r="C46" i="25" s="1"/>
  <c r="C47" i="25" s="1"/>
  <c r="C48" i="25" s="1"/>
  <c r="C49" i="25" s="1"/>
  <c r="C50" i="25" s="1"/>
  <c r="C51" i="25" s="1"/>
  <c r="C52" i="25" s="1"/>
  <c r="C53" i="25" s="1"/>
  <c r="C54" i="25" s="1"/>
  <c r="C55" i="25" s="1"/>
  <c r="C56" i="25" s="1"/>
  <c r="C57" i="25" s="1"/>
  <c r="C58" i="25" s="1"/>
  <c r="C59" i="25" s="1"/>
  <c r="C60" i="25" s="1"/>
  <c r="C61" i="25" s="1"/>
  <c r="C62" i="25" s="1"/>
  <c r="C63" i="25" s="1"/>
  <c r="C64" i="25" s="1"/>
  <c r="C65" i="25" s="1"/>
  <c r="C66" i="25" s="1"/>
  <c r="C67" i="25" s="1"/>
  <c r="C86" i="27" l="1"/>
  <c r="C87" i="27" s="1"/>
  <c r="C88" i="27" s="1"/>
  <c r="C89" i="27" s="1"/>
  <c r="C90" i="27" s="1"/>
  <c r="C91" i="27" s="1"/>
  <c r="C92" i="27" s="1"/>
  <c r="C93" i="27" s="1"/>
  <c r="C94" i="27" s="1"/>
  <c r="C95" i="27" s="1"/>
  <c r="C96" i="27" s="1"/>
  <c r="C97" i="27" s="1"/>
  <c r="C98" i="27" s="1"/>
  <c r="C99" i="27" s="1"/>
  <c r="C100" i="27" s="1"/>
  <c r="C101" i="27" s="1"/>
  <c r="C102" i="27" s="1"/>
  <c r="C103" i="27" s="1"/>
  <c r="C104" i="27" s="1"/>
  <c r="C105" i="27" s="1"/>
  <c r="C106" i="27" s="1"/>
  <c r="C107" i="27" s="1"/>
  <c r="C108" i="27" s="1"/>
  <c r="H46" i="22"/>
  <c r="H17" i="22"/>
  <c r="C169" i="23"/>
  <c r="C170" i="23" s="1"/>
  <c r="C171" i="23" s="1"/>
  <c r="C172" i="23" s="1"/>
  <c r="C173" i="23" s="1"/>
  <c r="C174" i="23" s="1"/>
  <c r="C175" i="23" s="1"/>
  <c r="C176" i="23" s="1"/>
  <c r="C177" i="23" s="1"/>
  <c r="C178" i="23" s="1"/>
  <c r="C179" i="23" s="1"/>
  <c r="C180" i="23" s="1"/>
  <c r="C181" i="23" s="1"/>
  <c r="C182" i="23" s="1"/>
  <c r="C183" i="23" s="1"/>
  <c r="C184" i="23" s="1"/>
  <c r="C185" i="23" s="1"/>
  <c r="C186" i="23" s="1"/>
  <c r="C187" i="23" s="1"/>
  <c r="C188" i="23" s="1"/>
  <c r="C189" i="23" s="1"/>
  <c r="C190" i="23" s="1"/>
  <c r="C191" i="23" s="1"/>
  <c r="C192" i="23" s="1"/>
  <c r="C193" i="23" s="1"/>
  <c r="C194" i="23" s="1"/>
  <c r="C195" i="23" s="1"/>
  <c r="C196" i="23" s="1"/>
  <c r="C197" i="23" s="1"/>
  <c r="C198" i="23" s="1"/>
  <c r="C199" i="23" s="1"/>
  <c r="C200" i="23" s="1"/>
  <c r="C201" i="23" s="1"/>
  <c r="C202" i="23" s="1"/>
  <c r="C203" i="23" s="1"/>
  <c r="C204" i="23" s="1"/>
  <c r="C205" i="23" s="1"/>
  <c r="C206" i="23" s="1"/>
  <c r="C207" i="23" s="1"/>
  <c r="C208" i="23" s="1"/>
  <c r="C209" i="23" s="1"/>
  <c r="C210" i="23" s="1"/>
  <c r="C211" i="23" s="1"/>
  <c r="C212" i="23" s="1"/>
  <c r="C213" i="23" s="1"/>
  <c r="C214" i="23" s="1"/>
  <c r="C215" i="23" s="1"/>
  <c r="C216" i="23" s="1"/>
  <c r="C217" i="23" s="1"/>
  <c r="C218" i="23" s="1"/>
  <c r="C219" i="23" s="1"/>
  <c r="C220" i="23" s="1"/>
  <c r="C221" i="23" s="1"/>
  <c r="C222" i="23" s="1"/>
  <c r="C223" i="23" s="1"/>
  <c r="C224" i="23" s="1"/>
  <c r="C225" i="23" s="1"/>
  <c r="C226" i="23" s="1"/>
  <c r="C227" i="23" s="1"/>
  <c r="C228" i="23" s="1"/>
  <c r="C229" i="23" s="1"/>
  <c r="C230" i="23" s="1"/>
  <c r="C231" i="23" s="1"/>
  <c r="C232" i="23" s="1"/>
  <c r="C233" i="23" s="1"/>
  <c r="C234" i="23" s="1"/>
  <c r="C235" i="23" s="1"/>
  <c r="C236" i="23" s="1"/>
  <c r="C237" i="23" s="1"/>
  <c r="C238" i="23" s="1"/>
  <c r="C239" i="23" s="1"/>
  <c r="C240" i="23" s="1"/>
  <c r="C241" i="23" s="1"/>
  <c r="C98" i="23"/>
  <c r="C99" i="23" s="1"/>
  <c r="C100" i="23" s="1"/>
  <c r="C101" i="23" s="1"/>
  <c r="C102" i="23" s="1"/>
  <c r="C103" i="23" s="1"/>
  <c r="C104" i="23" s="1"/>
  <c r="C105" i="23" s="1"/>
  <c r="C106" i="23" s="1"/>
  <c r="C107" i="23" s="1"/>
  <c r="C108" i="23" s="1"/>
  <c r="C109" i="23" s="1"/>
  <c r="C110" i="23" s="1"/>
  <c r="C111" i="23" s="1"/>
  <c r="C112" i="23" s="1"/>
  <c r="C113" i="23" s="1"/>
  <c r="C114" i="23" s="1"/>
  <c r="C115" i="23" s="1"/>
  <c r="C116" i="23" s="1"/>
  <c r="C117" i="23" s="1"/>
  <c r="C118" i="23" s="1"/>
  <c r="C119" i="23" s="1"/>
  <c r="C120" i="23" s="1"/>
  <c r="C121" i="23" s="1"/>
  <c r="C122" i="23" s="1"/>
  <c r="C123" i="23" s="1"/>
  <c r="C124" i="23" s="1"/>
  <c r="C125" i="23" s="1"/>
  <c r="C126" i="23" s="1"/>
  <c r="C127" i="23" s="1"/>
  <c r="C128" i="23" s="1"/>
  <c r="C129" i="23" s="1"/>
  <c r="C130" i="23" s="1"/>
  <c r="C131" i="23" s="1"/>
  <c r="C132" i="23" s="1"/>
  <c r="C133" i="23" s="1"/>
  <c r="C134" i="23" s="1"/>
  <c r="C135" i="23" s="1"/>
  <c r="C136" i="23" s="1"/>
  <c r="C137" i="23" s="1"/>
  <c r="C138" i="23" s="1"/>
  <c r="C139" i="23" s="1"/>
  <c r="C140" i="23" s="1"/>
  <c r="C141" i="23" s="1"/>
  <c r="C142" i="23" s="1"/>
  <c r="C143" i="23" s="1"/>
  <c r="C144" i="23" s="1"/>
  <c r="C18" i="23"/>
  <c r="C19" i="23" s="1"/>
  <c r="C20" i="23" s="1"/>
  <c r="C21" i="23" s="1"/>
  <c r="C22" i="23" s="1"/>
  <c r="C23" i="23" s="1"/>
  <c r="C24" i="23" s="1"/>
  <c r="C25" i="23" s="1"/>
  <c r="C26" i="23" s="1"/>
  <c r="C27" i="23" s="1"/>
  <c r="C28" i="23" s="1"/>
  <c r="C29" i="23" s="1"/>
  <c r="C30" i="23" s="1"/>
  <c r="C31" i="23" s="1"/>
  <c r="C32" i="23" s="1"/>
  <c r="C33" i="23" s="1"/>
  <c r="C34" i="23" s="1"/>
  <c r="C35" i="23" s="1"/>
  <c r="C36" i="23" s="1"/>
  <c r="C37" i="23" s="1"/>
  <c r="C38" i="23" s="1"/>
  <c r="C39" i="23" s="1"/>
  <c r="C40" i="23" s="1"/>
  <c r="C41" i="23" s="1"/>
  <c r="C42" i="23" s="1"/>
  <c r="C43" i="23" s="1"/>
  <c r="C44" i="23" s="1"/>
  <c r="C45" i="23" s="1"/>
  <c r="C46" i="23" s="1"/>
  <c r="C47" i="23" s="1"/>
  <c r="C48" i="23" s="1"/>
  <c r="C49" i="23" s="1"/>
  <c r="C50" i="23" s="1"/>
  <c r="C51" i="23" s="1"/>
  <c r="C52" i="23" s="1"/>
  <c r="C53" i="23" s="1"/>
  <c r="C54" i="23" s="1"/>
  <c r="C55" i="23" s="1"/>
  <c r="C56" i="23" s="1"/>
  <c r="C57" i="23" s="1"/>
  <c r="C58" i="23" s="1"/>
  <c r="C59" i="23" s="1"/>
  <c r="C60" i="23" s="1"/>
  <c r="C61" i="23" s="1"/>
  <c r="C62" i="23" s="1"/>
  <c r="C63" i="23" s="1"/>
  <c r="C64" i="23" s="1"/>
  <c r="C65" i="23" s="1"/>
  <c r="C66" i="23" s="1"/>
  <c r="C67" i="23" s="1"/>
  <c r="C68" i="23" s="1"/>
  <c r="C69" i="23" s="1"/>
  <c r="C70" i="23" s="1"/>
  <c r="C71" i="23" s="1"/>
  <c r="C72" i="23" s="1"/>
  <c r="C73" i="23" s="1"/>
  <c r="C398" i="22"/>
  <c r="C399" i="22" s="1"/>
  <c r="C400" i="22" s="1"/>
  <c r="C401" i="22" s="1"/>
  <c r="C402" i="22" s="1"/>
  <c r="C403" i="22" s="1"/>
  <c r="C404" i="22" s="1"/>
  <c r="C405" i="22" s="1"/>
  <c r="C406" i="22" s="1"/>
  <c r="C407" i="22" s="1"/>
  <c r="C408" i="22" s="1"/>
  <c r="C409" i="22" s="1"/>
  <c r="C410" i="22" s="1"/>
  <c r="C411" i="22" s="1"/>
  <c r="C412" i="22" s="1"/>
  <c r="C413" i="22" s="1"/>
  <c r="C414" i="22" s="1"/>
  <c r="C415" i="22" s="1"/>
  <c r="C416" i="22" s="1"/>
  <c r="C417" i="22" s="1"/>
  <c r="C418" i="22" s="1"/>
  <c r="C419" i="22" s="1"/>
  <c r="C420" i="22" s="1"/>
  <c r="C421" i="22" s="1"/>
  <c r="C422" i="22" s="1"/>
  <c r="C423" i="22" s="1"/>
  <c r="C424" i="22" s="1"/>
  <c r="C425" i="22" s="1"/>
  <c r="C426" i="22" s="1"/>
  <c r="C427" i="22" s="1"/>
  <c r="C428" i="22" s="1"/>
  <c r="C429" i="22" s="1"/>
  <c r="C430" i="22" s="1"/>
  <c r="C431" i="22" s="1"/>
  <c r="C432" i="22" s="1"/>
  <c r="C433" i="22" s="1"/>
  <c r="C434" i="22" s="1"/>
  <c r="C435" i="22" s="1"/>
  <c r="C436" i="22" s="1"/>
  <c r="C437" i="22" s="1"/>
  <c r="C438" i="22" s="1"/>
  <c r="C313" i="22"/>
  <c r="C314" i="22" s="1"/>
  <c r="C315" i="22" s="1"/>
  <c r="C316" i="22" s="1"/>
  <c r="C317" i="22" s="1"/>
  <c r="C318" i="22" s="1"/>
  <c r="C319" i="22" s="1"/>
  <c r="C320" i="22" s="1"/>
  <c r="C321" i="22" s="1"/>
  <c r="C322" i="22" s="1"/>
  <c r="C323" i="22" s="1"/>
  <c r="C324" i="22" s="1"/>
  <c r="C325" i="22" s="1"/>
  <c r="C326" i="22" s="1"/>
  <c r="C327" i="22" s="1"/>
  <c r="C328" i="22" s="1"/>
  <c r="C329" i="22" s="1"/>
  <c r="C330" i="22" s="1"/>
  <c r="C331" i="22" s="1"/>
  <c r="C332" i="22" s="1"/>
  <c r="C333" i="22" s="1"/>
  <c r="C334" i="22" s="1"/>
  <c r="C335" i="22" s="1"/>
  <c r="C336" i="22" s="1"/>
  <c r="C337" i="22" s="1"/>
  <c r="C338" i="22" s="1"/>
  <c r="C339" i="22" s="1"/>
  <c r="C340" i="22" s="1"/>
  <c r="C341" i="22" s="1"/>
  <c r="C342" i="22" s="1"/>
  <c r="C343" i="22" s="1"/>
  <c r="C344" i="22" s="1"/>
  <c r="P312" i="22"/>
  <c r="C231" i="22"/>
  <c r="C232" i="22" s="1"/>
  <c r="C233" i="22" s="1"/>
  <c r="C234" i="22" s="1"/>
  <c r="C235" i="22" s="1"/>
  <c r="C236" i="22" s="1"/>
  <c r="C237" i="22" s="1"/>
  <c r="C238" i="22" s="1"/>
  <c r="C239" i="22" s="1"/>
  <c r="C240" i="22" s="1"/>
  <c r="C241" i="22" s="1"/>
  <c r="C242" i="22" s="1"/>
  <c r="C243" i="22" s="1"/>
  <c r="C244" i="22" s="1"/>
  <c r="C245" i="22" s="1"/>
  <c r="C246" i="22" s="1"/>
  <c r="C247" i="22" s="1"/>
  <c r="C248" i="22" s="1"/>
  <c r="C249" i="22" s="1"/>
  <c r="C250" i="22" s="1"/>
  <c r="C251" i="22" s="1"/>
  <c r="C252" i="22" s="1"/>
  <c r="C253" i="22" s="1"/>
  <c r="C254" i="22" s="1"/>
  <c r="C255" i="22" s="1"/>
  <c r="C256" i="22" s="1"/>
  <c r="C257" i="22" s="1"/>
  <c r="C258" i="22" s="1"/>
  <c r="C259" i="22" s="1"/>
  <c r="C260" i="22" s="1"/>
  <c r="C261" i="22" s="1"/>
  <c r="C262" i="22" s="1"/>
  <c r="C263" i="22" s="1"/>
  <c r="C264" i="22" s="1"/>
  <c r="C265" i="22" s="1"/>
  <c r="C266" i="22" s="1"/>
  <c r="C267" i="22" s="1"/>
  <c r="C268" i="22" s="1"/>
  <c r="C269" i="22" s="1"/>
  <c r="C270" i="22" s="1"/>
  <c r="C271" i="22" s="1"/>
  <c r="C272" i="22" s="1"/>
  <c r="C273" i="22" s="1"/>
  <c r="C274" i="22" s="1"/>
  <c r="C275" i="22" s="1"/>
  <c r="C276" i="22" s="1"/>
  <c r="C277" i="22" s="1"/>
  <c r="C278" i="22" s="1"/>
  <c r="C279" i="22" s="1"/>
  <c r="C280" i="22" s="1"/>
  <c r="C281" i="22" s="1"/>
  <c r="C282" i="22" s="1"/>
  <c r="C283" i="22" s="1"/>
  <c r="C284" i="22" s="1"/>
  <c r="C285" i="22" s="1"/>
  <c r="C286" i="22" s="1"/>
  <c r="C287" i="22" s="1"/>
  <c r="C288" i="22" s="1"/>
  <c r="C289" i="22" s="1"/>
  <c r="C173" i="22"/>
  <c r="C174" i="22" s="1"/>
  <c r="C175" i="22" s="1"/>
  <c r="C176" i="22" s="1"/>
  <c r="C177" i="22" s="1"/>
  <c r="C178" i="22" s="1"/>
  <c r="C179" i="22" s="1"/>
  <c r="C180" i="22" s="1"/>
  <c r="C181" i="22" s="1"/>
  <c r="C182" i="22" s="1"/>
  <c r="C183" i="22" s="1"/>
  <c r="C184" i="22" s="1"/>
  <c r="C185" i="22" s="1"/>
  <c r="C186" i="22" s="1"/>
  <c r="C187" i="22" s="1"/>
  <c r="C188" i="22" s="1"/>
  <c r="C189" i="22" s="1"/>
  <c r="C190" i="22" s="1"/>
  <c r="C191" i="22" s="1"/>
  <c r="C192" i="22" s="1"/>
  <c r="C193" i="22" s="1"/>
  <c r="C194" i="22" s="1"/>
  <c r="C195" i="22" s="1"/>
  <c r="C196" i="22" s="1"/>
  <c r="C197" i="22" s="1"/>
  <c r="C198" i="22" s="1"/>
  <c r="C199" i="22" s="1"/>
  <c r="C200" i="22" s="1"/>
  <c r="C201" i="22" s="1"/>
  <c r="C202" i="22" s="1"/>
  <c r="C203" i="22" s="1"/>
  <c r="C204" i="22" s="1"/>
  <c r="C205" i="22" s="1"/>
  <c r="C118" i="22"/>
  <c r="C119" i="22" s="1"/>
  <c r="C120" i="22" s="1"/>
  <c r="C121" i="22" s="1"/>
  <c r="C122" i="22" s="1"/>
  <c r="C123" i="22" s="1"/>
  <c r="C124" i="22" s="1"/>
  <c r="C125" i="22" s="1"/>
  <c r="C126" i="22" s="1"/>
  <c r="C127" i="22" s="1"/>
  <c r="C128" i="22" s="1"/>
  <c r="C129" i="22" s="1"/>
  <c r="C130" i="22" s="1"/>
  <c r="C131" i="22" s="1"/>
  <c r="C132" i="22" s="1"/>
  <c r="C133" i="22" s="1"/>
  <c r="C134" i="22" s="1"/>
  <c r="C135" i="22" s="1"/>
  <c r="C136" i="22" s="1"/>
  <c r="C137" i="22" s="1"/>
  <c r="C138" i="22" s="1"/>
  <c r="C139" i="22" s="1"/>
  <c r="C140" i="22" s="1"/>
  <c r="C141" i="22" s="1"/>
  <c r="C142" i="22" s="1"/>
  <c r="C143" i="22" s="1"/>
  <c r="C144" i="22" s="1"/>
  <c r="C145" i="22" s="1"/>
  <c r="C146" i="22" s="1"/>
  <c r="C147" i="22" s="1"/>
  <c r="C148" i="22" s="1"/>
  <c r="C73" i="22"/>
  <c r="C74" i="22" s="1"/>
  <c r="C75" i="22" s="1"/>
  <c r="C76" i="22" s="1"/>
  <c r="C77" i="22" s="1"/>
  <c r="C78" i="22" s="1"/>
  <c r="C79" i="22" s="1"/>
  <c r="C80" i="22" s="1"/>
  <c r="C81" i="22" s="1"/>
  <c r="C82" i="22" s="1"/>
  <c r="C83" i="22" s="1"/>
  <c r="C84" i="22" s="1"/>
  <c r="C85" i="22" s="1"/>
  <c r="C86" i="22" s="1"/>
  <c r="C87" i="22" s="1"/>
  <c r="C88" i="22" s="1"/>
  <c r="C89" i="22" s="1"/>
  <c r="C90" i="22" s="1"/>
  <c r="C91" i="22" s="1"/>
  <c r="C92" i="22" s="1"/>
  <c r="C93" i="22" s="1"/>
  <c r="C94" i="22" s="1"/>
  <c r="C17" i="22"/>
  <c r="C18" i="22" s="1"/>
  <c r="C19" i="22" s="1"/>
  <c r="C20" i="22" s="1"/>
  <c r="C21" i="22" s="1"/>
  <c r="C22" i="22" s="1"/>
  <c r="C23" i="22" s="1"/>
  <c r="C24" i="22" s="1"/>
  <c r="C25" i="22" s="1"/>
  <c r="C26" i="22" s="1"/>
  <c r="C27" i="22" s="1"/>
  <c r="C28" i="22" s="1"/>
  <c r="C29" i="22" s="1"/>
  <c r="C30" i="22" s="1"/>
  <c r="C31" i="22" s="1"/>
  <c r="C32" i="22" s="1"/>
  <c r="C33" i="22" s="1"/>
  <c r="C34" i="22" s="1"/>
  <c r="C35" i="22" s="1"/>
  <c r="C36" i="22" s="1"/>
  <c r="C37" i="22" s="1"/>
  <c r="C38" i="22" s="1"/>
  <c r="C39" i="22" s="1"/>
  <c r="C40" i="22" s="1"/>
  <c r="C41" i="22" s="1"/>
  <c r="C42" i="22" s="1"/>
  <c r="C43" i="22" s="1"/>
  <c r="C44" i="22" s="1"/>
  <c r="C45" i="22" s="1"/>
  <c r="C46" i="22" s="1"/>
  <c r="C47" i="22" s="1"/>
  <c r="C48" i="22" s="1"/>
  <c r="C49" i="22" s="1"/>
  <c r="H201" i="21"/>
  <c r="H184" i="21"/>
  <c r="C182" i="21"/>
  <c r="C183" i="21" s="1"/>
  <c r="C184" i="21" s="1"/>
  <c r="C185" i="21" s="1"/>
  <c r="C186" i="21" s="1"/>
  <c r="C187" i="21" s="1"/>
  <c r="C188" i="21" s="1"/>
  <c r="C189" i="21" s="1"/>
  <c r="C190" i="21" s="1"/>
  <c r="C191" i="21" s="1"/>
  <c r="C192" i="21" s="1"/>
  <c r="C193" i="21" s="1"/>
  <c r="C194" i="21" s="1"/>
  <c r="C195" i="21" s="1"/>
  <c r="C196" i="21" s="1"/>
  <c r="C197" i="21" s="1"/>
  <c r="C198" i="21" s="1"/>
  <c r="C199" i="21" s="1"/>
  <c r="C200" i="21" s="1"/>
  <c r="C201" i="21" s="1"/>
  <c r="C202" i="21" s="1"/>
  <c r="C203" i="21" s="1"/>
  <c r="C204" i="21" s="1"/>
  <c r="C205" i="21" s="1"/>
  <c r="C206" i="21" s="1"/>
  <c r="C207" i="21" s="1"/>
  <c r="C208" i="21" s="1"/>
  <c r="C209" i="21" s="1"/>
  <c r="C210" i="21" s="1"/>
  <c r="C211" i="21" s="1"/>
  <c r="C212" i="21" s="1"/>
  <c r="C213" i="21" s="1"/>
  <c r="C214" i="21" s="1"/>
  <c r="C215" i="21" s="1"/>
  <c r="C216" i="21" s="1"/>
  <c r="C217" i="21" s="1"/>
  <c r="C218" i="21" s="1"/>
  <c r="C219" i="21" s="1"/>
  <c r="C220" i="21" s="1"/>
  <c r="H159" i="21"/>
  <c r="H157" i="21"/>
  <c r="H146" i="21"/>
  <c r="H144" i="21"/>
  <c r="H142" i="21"/>
  <c r="H132" i="21"/>
  <c r="H130" i="21"/>
  <c r="C130" i="21"/>
  <c r="C131" i="21" s="1"/>
  <c r="C132" i="21" s="1"/>
  <c r="C133" i="21" s="1"/>
  <c r="C134" i="21" s="1"/>
  <c r="C135" i="21" s="1"/>
  <c r="C136" i="21" s="1"/>
  <c r="C137" i="21" s="1"/>
  <c r="C138" i="21" s="1"/>
  <c r="C139" i="21" s="1"/>
  <c r="C140" i="21" s="1"/>
  <c r="C141" i="21" s="1"/>
  <c r="C142" i="21" s="1"/>
  <c r="C143" i="21" s="1"/>
  <c r="C144" i="21" s="1"/>
  <c r="C145" i="21" s="1"/>
  <c r="C146" i="21" s="1"/>
  <c r="C147" i="21" s="1"/>
  <c r="C148" i="21" s="1"/>
  <c r="C149" i="21" s="1"/>
  <c r="C150" i="21" s="1"/>
  <c r="C151" i="21" s="1"/>
  <c r="C152" i="21" s="1"/>
  <c r="C153" i="21" s="1"/>
  <c r="C154" i="21" s="1"/>
  <c r="C155" i="21" s="1"/>
  <c r="C156" i="21" s="1"/>
  <c r="C157" i="21" s="1"/>
  <c r="C158" i="21" s="1"/>
  <c r="C159" i="21" s="1"/>
  <c r="H96" i="21"/>
  <c r="H94" i="21"/>
  <c r="C92" i="21"/>
  <c r="C93" i="21" s="1"/>
  <c r="C94" i="21" s="1"/>
  <c r="C95" i="21" s="1"/>
  <c r="C96" i="21" s="1"/>
  <c r="C97" i="21" s="1"/>
  <c r="C98" i="21" s="1"/>
  <c r="C99" i="21" s="1"/>
  <c r="C100" i="21" s="1"/>
  <c r="C101" i="21" s="1"/>
  <c r="C102" i="21" s="1"/>
  <c r="C103" i="21" s="1"/>
  <c r="C104" i="21" s="1"/>
  <c r="C105" i="21" s="1"/>
  <c r="C106" i="21" s="1"/>
  <c r="H85" i="21"/>
  <c r="C79" i="21"/>
  <c r="C80" i="21" s="1"/>
  <c r="C81" i="21" s="1"/>
  <c r="C82" i="21" s="1"/>
  <c r="C83" i="21" s="1"/>
  <c r="C84" i="21" s="1"/>
  <c r="C85" i="21" s="1"/>
  <c r="C86" i="21" s="1"/>
  <c r="C87" i="21" s="1"/>
  <c r="C88" i="21" s="1"/>
  <c r="C89" i="21" s="1"/>
  <c r="C90" i="21" s="1"/>
  <c r="C91" i="21" s="1"/>
  <c r="H50" i="21"/>
  <c r="H41" i="21"/>
  <c r="S25" i="21"/>
  <c r="C19" i="21"/>
  <c r="C20" i="21" s="1"/>
  <c r="C21" i="21" s="1"/>
  <c r="C22" i="21" s="1"/>
  <c r="C23" i="21" s="1"/>
  <c r="C24" i="21" s="1"/>
  <c r="C25" i="21" s="1"/>
  <c r="C26" i="21" s="1"/>
  <c r="C27" i="21" s="1"/>
  <c r="C28" i="21" s="1"/>
  <c r="C29" i="21" s="1"/>
  <c r="C30" i="21" s="1"/>
  <c r="C31" i="21" s="1"/>
  <c r="C32" i="21" s="1"/>
  <c r="C33" i="21" s="1"/>
  <c r="C34" i="21" s="1"/>
  <c r="C35" i="21" s="1"/>
  <c r="C36" i="21" s="1"/>
  <c r="C37" i="21" s="1"/>
  <c r="C38" i="21" s="1"/>
  <c r="C39" i="21" s="1"/>
  <c r="C40" i="21" s="1"/>
  <c r="C41" i="21" s="1"/>
  <c r="C42" i="21" s="1"/>
  <c r="C43" i="21" s="1"/>
  <c r="C44" i="21" s="1"/>
  <c r="C45" i="21" s="1"/>
  <c r="C46" i="21" s="1"/>
  <c r="C47" i="21" s="1"/>
  <c r="C48" i="21" s="1"/>
  <c r="C49" i="21" s="1"/>
  <c r="C50" i="21" s="1"/>
  <c r="C51" i="21" s="1"/>
  <c r="C52" i="21" s="1"/>
  <c r="C53" i="21" s="1"/>
  <c r="C54" i="21" s="1"/>
  <c r="C55" i="21" s="1"/>
  <c r="C56" i="21" s="1"/>
  <c r="C18" i="21"/>
  <c r="H198" i="20"/>
  <c r="C198" i="20"/>
  <c r="C199" i="20" s="1"/>
  <c r="C200" i="20" s="1"/>
  <c r="C201" i="20" s="1"/>
  <c r="C202" i="20" s="1"/>
  <c r="C203" i="20" s="1"/>
  <c r="C204" i="20" s="1"/>
  <c r="C205" i="20" s="1"/>
  <c r="C206" i="20" s="1"/>
  <c r="C207" i="20" s="1"/>
  <c r="C208" i="20" s="1"/>
  <c r="C209" i="20" s="1"/>
  <c r="C210" i="20" s="1"/>
  <c r="C211" i="20" s="1"/>
  <c r="C212" i="20" s="1"/>
  <c r="C213" i="20" s="1"/>
  <c r="C214" i="20" s="1"/>
  <c r="C215" i="20" s="1"/>
  <c r="C216" i="20" s="1"/>
  <c r="C217" i="20" s="1"/>
  <c r="C218" i="20" s="1"/>
  <c r="C219" i="20" s="1"/>
  <c r="C220" i="20" s="1"/>
  <c r="C221" i="20" s="1"/>
  <c r="C222" i="20" s="1"/>
  <c r="C223" i="20" s="1"/>
  <c r="C224" i="20" s="1"/>
  <c r="C225" i="20" s="1"/>
  <c r="C226" i="20" s="1"/>
  <c r="C227" i="20" s="1"/>
  <c r="C228" i="20" s="1"/>
  <c r="C131" i="20"/>
  <c r="C132" i="20" s="1"/>
  <c r="C133" i="20" s="1"/>
  <c r="C134" i="20" s="1"/>
  <c r="C135" i="20" s="1"/>
  <c r="C136" i="20" s="1"/>
  <c r="C137" i="20" s="1"/>
  <c r="C138" i="20" s="1"/>
  <c r="C139" i="20" s="1"/>
  <c r="C140" i="20" s="1"/>
  <c r="C141" i="20" s="1"/>
  <c r="C142" i="20" s="1"/>
  <c r="C143" i="20" s="1"/>
  <c r="C144" i="20" s="1"/>
  <c r="C145" i="20" s="1"/>
  <c r="C146" i="20" s="1"/>
  <c r="C147" i="20" s="1"/>
  <c r="C148" i="20" s="1"/>
  <c r="C149" i="20" s="1"/>
  <c r="C150" i="20" s="1"/>
  <c r="C151" i="20" s="1"/>
  <c r="C152" i="20" s="1"/>
  <c r="C153" i="20" s="1"/>
  <c r="C154" i="20" s="1"/>
  <c r="C155" i="20" s="1"/>
  <c r="C156" i="20" s="1"/>
  <c r="C157" i="20" s="1"/>
  <c r="C158" i="20" s="1"/>
  <c r="C159" i="20" s="1"/>
  <c r="C160" i="20" s="1"/>
  <c r="C161" i="20" s="1"/>
  <c r="C162" i="20" s="1"/>
  <c r="C163" i="20" s="1"/>
  <c r="C164" i="20" s="1"/>
  <c r="C165" i="20" s="1"/>
  <c r="C166" i="20" s="1"/>
  <c r="C167" i="20" s="1"/>
  <c r="C168" i="20" s="1"/>
  <c r="C169" i="20" s="1"/>
  <c r="C170" i="20" s="1"/>
  <c r="C171" i="20" s="1"/>
  <c r="C172" i="20" s="1"/>
  <c r="C173" i="20" s="1"/>
  <c r="C174" i="20" s="1"/>
  <c r="C175" i="20" s="1"/>
  <c r="C59" i="20"/>
  <c r="C60" i="20" s="1"/>
  <c r="C61" i="20" s="1"/>
  <c r="C62" i="20" s="1"/>
  <c r="C63" i="20" s="1"/>
  <c r="C64" i="20" s="1"/>
  <c r="C65" i="20" s="1"/>
  <c r="C66" i="20" s="1"/>
  <c r="C67" i="20" s="1"/>
  <c r="C68" i="20" s="1"/>
  <c r="C69" i="20" s="1"/>
  <c r="C70" i="20" s="1"/>
  <c r="C71" i="20" s="1"/>
  <c r="C72" i="20" s="1"/>
  <c r="C73" i="20" s="1"/>
  <c r="C74" i="20" s="1"/>
  <c r="C75" i="20" s="1"/>
  <c r="C76" i="20" s="1"/>
  <c r="C77" i="20" s="1"/>
  <c r="C78" i="20" s="1"/>
  <c r="C79" i="20" s="1"/>
  <c r="C80" i="20" s="1"/>
  <c r="C81" i="20" s="1"/>
  <c r="C82" i="20" s="1"/>
  <c r="C83" i="20" s="1"/>
  <c r="C84" i="20" s="1"/>
  <c r="C85" i="20" s="1"/>
  <c r="C86" i="20" s="1"/>
  <c r="C87" i="20" s="1"/>
  <c r="C88" i="20" s="1"/>
  <c r="C89" i="20" s="1"/>
  <c r="C90" i="20" s="1"/>
  <c r="C91" i="20" s="1"/>
  <c r="C92" i="20" s="1"/>
  <c r="C93" i="20" s="1"/>
  <c r="C94" i="20" s="1"/>
  <c r="C95" i="20" s="1"/>
  <c r="C96" i="20" s="1"/>
  <c r="C97" i="20" s="1"/>
  <c r="C98" i="20" s="1"/>
  <c r="C99" i="20" s="1"/>
  <c r="C100" i="20" s="1"/>
  <c r="C101" i="20" s="1"/>
  <c r="C102" i="20" s="1"/>
  <c r="C103" i="20" s="1"/>
  <c r="C104" i="20" s="1"/>
  <c r="C105" i="20" s="1"/>
  <c r="C106" i="20" s="1"/>
  <c r="C107" i="20" s="1"/>
  <c r="C108" i="20" s="1"/>
  <c r="C17" i="20"/>
  <c r="C18" i="20" s="1"/>
  <c r="C19" i="20" s="1"/>
  <c r="C20" i="20" s="1"/>
  <c r="C21" i="20" s="1"/>
  <c r="C22" i="20" s="1"/>
  <c r="C23" i="20" s="1"/>
  <c r="C24" i="20" s="1"/>
  <c r="C25" i="20" s="1"/>
  <c r="C26" i="20" s="1"/>
  <c r="C27" i="20" s="1"/>
  <c r="C28" i="20" s="1"/>
  <c r="C29" i="20" s="1"/>
  <c r="C30" i="20" s="1"/>
  <c r="C31" i="20" s="1"/>
  <c r="C32" i="20" s="1"/>
  <c r="C33" i="20" s="1"/>
  <c r="C34" i="20" s="1"/>
  <c r="C35" i="20" s="1"/>
  <c r="C36" i="20" s="1"/>
  <c r="C213" i="19"/>
  <c r="C214" i="19" s="1"/>
  <c r="C215" i="19" s="1"/>
  <c r="C216" i="19" s="1"/>
  <c r="C217" i="19" s="1"/>
  <c r="C218" i="19" s="1"/>
  <c r="C219" i="19" s="1"/>
  <c r="C220" i="19" s="1"/>
  <c r="C221" i="19" s="1"/>
  <c r="C222" i="19" s="1"/>
  <c r="C223" i="19" s="1"/>
  <c r="C224" i="19" s="1"/>
  <c r="C225" i="19" s="1"/>
  <c r="C226" i="19" s="1"/>
  <c r="C227" i="19" s="1"/>
  <c r="C228" i="19" s="1"/>
  <c r="C229" i="19" s="1"/>
  <c r="C230" i="19" s="1"/>
  <c r="C231" i="19" s="1"/>
  <c r="C232" i="19" s="1"/>
  <c r="C233" i="19" s="1"/>
  <c r="C234" i="19" s="1"/>
  <c r="C235" i="19" s="1"/>
  <c r="C236" i="19" s="1"/>
  <c r="C237" i="19" s="1"/>
  <c r="C238" i="19" s="1"/>
  <c r="C239" i="19" s="1"/>
  <c r="C240" i="19" s="1"/>
  <c r="C241" i="19" s="1"/>
  <c r="C242" i="19" s="1"/>
  <c r="C243" i="19" s="1"/>
  <c r="C244" i="19" s="1"/>
  <c r="C245" i="19" s="1"/>
  <c r="C246" i="19" s="1"/>
  <c r="C247" i="19" s="1"/>
  <c r="C248" i="19" s="1"/>
  <c r="C249" i="19" s="1"/>
  <c r="C250" i="19" s="1"/>
  <c r="C251" i="19" s="1"/>
  <c r="C252" i="19" s="1"/>
  <c r="C253" i="19" s="1"/>
  <c r="C254" i="19" s="1"/>
  <c r="C255" i="19" s="1"/>
  <c r="C256" i="19" s="1"/>
  <c r="C257" i="19" s="1"/>
  <c r="C258" i="19" s="1"/>
  <c r="C259" i="19" s="1"/>
  <c r="C260" i="19" s="1"/>
  <c r="C261" i="19" s="1"/>
  <c r="C262" i="19" s="1"/>
  <c r="C139" i="19"/>
  <c r="C140" i="19" s="1"/>
  <c r="C141" i="19" s="1"/>
  <c r="C142" i="19" s="1"/>
  <c r="C143" i="19" s="1"/>
  <c r="C144" i="19" s="1"/>
  <c r="C145" i="19" s="1"/>
  <c r="C146" i="19" s="1"/>
  <c r="C147" i="19" s="1"/>
  <c r="C148" i="19" s="1"/>
  <c r="C149" i="19" s="1"/>
  <c r="C150" i="19" s="1"/>
  <c r="C151" i="19" s="1"/>
  <c r="C152" i="19" s="1"/>
  <c r="C153" i="19" s="1"/>
  <c r="C154" i="19" s="1"/>
  <c r="C155" i="19" s="1"/>
  <c r="C156" i="19" s="1"/>
  <c r="C157" i="19" s="1"/>
  <c r="C158" i="19" s="1"/>
  <c r="C159" i="19" s="1"/>
  <c r="C160" i="19" s="1"/>
  <c r="C161" i="19" s="1"/>
  <c r="C162" i="19" s="1"/>
  <c r="C163" i="19" s="1"/>
  <c r="C164" i="19" s="1"/>
  <c r="C165" i="19" s="1"/>
  <c r="C166" i="19" s="1"/>
  <c r="C167" i="19" s="1"/>
  <c r="C168" i="19" s="1"/>
  <c r="C169" i="19" s="1"/>
  <c r="H85" i="19"/>
  <c r="H65" i="19"/>
  <c r="C65" i="19"/>
  <c r="C66" i="19" s="1"/>
  <c r="C67" i="19" s="1"/>
  <c r="C68" i="19" s="1"/>
  <c r="C69" i="19" s="1"/>
  <c r="C70" i="19" s="1"/>
  <c r="C71" i="19" s="1"/>
  <c r="C72" i="19" s="1"/>
  <c r="C73" i="19" s="1"/>
  <c r="C74" i="19" s="1"/>
  <c r="C75" i="19" s="1"/>
  <c r="C76" i="19" s="1"/>
  <c r="C77" i="19" s="1"/>
  <c r="C78" i="19" s="1"/>
  <c r="C79" i="19" s="1"/>
  <c r="C80" i="19" s="1"/>
  <c r="C81" i="19" s="1"/>
  <c r="C82" i="19" s="1"/>
  <c r="C83" i="19" s="1"/>
  <c r="C84" i="19" s="1"/>
  <c r="C85" i="19" s="1"/>
  <c r="C86" i="19" s="1"/>
  <c r="C87" i="19" s="1"/>
  <c r="C88" i="19" s="1"/>
  <c r="C89" i="19" s="1"/>
  <c r="C90" i="19" s="1"/>
  <c r="C91" i="19" s="1"/>
  <c r="C92" i="19" s="1"/>
  <c r="C93" i="19" s="1"/>
  <c r="C94" i="19" s="1"/>
  <c r="C95" i="19" s="1"/>
  <c r="C96" i="19" s="1"/>
  <c r="C97" i="19" s="1"/>
  <c r="C98" i="19" s="1"/>
  <c r="C99" i="19" s="1"/>
  <c r="C100" i="19" s="1"/>
  <c r="C101" i="19" s="1"/>
  <c r="C17" i="19"/>
  <c r="C18" i="19" s="1"/>
  <c r="C19" i="19" s="1"/>
  <c r="C20" i="19" s="1"/>
  <c r="C21" i="19" s="1"/>
  <c r="C22" i="19" s="1"/>
  <c r="C23" i="19" s="1"/>
  <c r="C24" i="19" s="1"/>
  <c r="C25" i="19" s="1"/>
  <c r="C26" i="19" s="1"/>
  <c r="C27" i="19" s="1"/>
  <c r="C28" i="19" s="1"/>
  <c r="C29" i="19" s="1"/>
  <c r="C30" i="19" s="1"/>
  <c r="C31" i="19" s="1"/>
  <c r="C32" i="19" s="1"/>
  <c r="C33" i="19" s="1"/>
  <c r="C34" i="19" s="1"/>
  <c r="V58" i="17"/>
  <c r="V50" i="17"/>
  <c r="V46" i="17"/>
  <c r="H45" i="17"/>
  <c r="AJ42" i="17"/>
  <c r="V29" i="17"/>
  <c r="H29" i="17"/>
  <c r="V27" i="17"/>
  <c r="H27" i="17"/>
  <c r="Q24" i="17"/>
  <c r="Q25" i="17" s="1"/>
  <c r="Q26" i="17" s="1"/>
  <c r="Q27" i="17" s="1"/>
  <c r="Q28" i="17" s="1"/>
  <c r="Q29" i="17" s="1"/>
  <c r="Q30" i="17" s="1"/>
  <c r="Q31" i="17" s="1"/>
  <c r="Q32" i="17" s="1"/>
  <c r="Q33" i="17" s="1"/>
  <c r="Q34" i="17" s="1"/>
  <c r="Q35" i="17" s="1"/>
  <c r="Q36" i="17" s="1"/>
  <c r="Q37" i="17" s="1"/>
  <c r="Q38" i="17" s="1"/>
  <c r="Q39" i="17" s="1"/>
  <c r="Q40" i="17" s="1"/>
  <c r="Q41" i="17" s="1"/>
  <c r="Q42" i="17" s="1"/>
  <c r="Q43" i="17" s="1"/>
  <c r="Q44" i="17" s="1"/>
  <c r="Q45" i="17" s="1"/>
  <c r="Q46" i="17" s="1"/>
  <c r="Q47" i="17" s="1"/>
  <c r="Q48" i="17" s="1"/>
  <c r="Q49" i="17" s="1"/>
  <c r="Q50" i="17" s="1"/>
  <c r="Q51" i="17" s="1"/>
  <c r="Q52" i="17" s="1"/>
  <c r="Q53" i="17" s="1"/>
  <c r="Q54" i="17" s="1"/>
  <c r="Q55" i="17" s="1"/>
  <c r="Q56" i="17" s="1"/>
  <c r="Q57" i="17" s="1"/>
  <c r="Q58" i="17" s="1"/>
  <c r="Q59" i="17" s="1"/>
  <c r="Q60" i="17" s="1"/>
  <c r="Q61" i="17" s="1"/>
  <c r="Q62" i="17" s="1"/>
  <c r="Q63" i="17" s="1"/>
  <c r="Q64" i="17" s="1"/>
  <c r="Q65" i="17" s="1"/>
  <c r="Q66" i="17" s="1"/>
  <c r="Q67" i="17" s="1"/>
  <c r="Q18" i="17"/>
  <c r="Q19" i="17" s="1"/>
  <c r="Q20" i="17" s="1"/>
  <c r="Q21" i="17" s="1"/>
  <c r="Q22" i="17" s="1"/>
  <c r="Q23" i="17" s="1"/>
  <c r="AE17" i="17"/>
  <c r="AE18" i="17" s="1"/>
  <c r="AE19" i="17" s="1"/>
  <c r="AE20" i="17" s="1"/>
  <c r="AE21" i="17" s="1"/>
  <c r="AE22" i="17" s="1"/>
  <c r="AE23" i="17" s="1"/>
  <c r="AE24" i="17" s="1"/>
  <c r="AE25" i="17" s="1"/>
  <c r="AE26" i="17" s="1"/>
  <c r="AE27" i="17" s="1"/>
  <c r="AE28" i="17" s="1"/>
  <c r="AE29" i="17" s="1"/>
  <c r="AE30" i="17" s="1"/>
  <c r="AE31" i="17" s="1"/>
  <c r="AE32" i="17" s="1"/>
  <c r="AE33" i="17" s="1"/>
  <c r="AE34" i="17" s="1"/>
  <c r="AE35" i="17" s="1"/>
  <c r="AE36" i="17" s="1"/>
  <c r="AE37" i="17" s="1"/>
  <c r="AE38" i="17" s="1"/>
  <c r="AE39" i="17" s="1"/>
  <c r="AE40" i="17" s="1"/>
  <c r="AE41" i="17" s="1"/>
  <c r="AE42" i="17" s="1"/>
  <c r="AE43" i="17" s="1"/>
  <c r="AE44" i="17" s="1"/>
  <c r="AE45" i="17" s="1"/>
  <c r="AE46" i="17" s="1"/>
  <c r="AE47" i="17" s="1"/>
  <c r="AE48" i="17" s="1"/>
  <c r="AE49" i="17" s="1"/>
  <c r="AE50" i="17" s="1"/>
  <c r="AE51" i="17" s="1"/>
  <c r="AE52" i="17" s="1"/>
  <c r="V17" i="17"/>
  <c r="Q17" i="17"/>
  <c r="C17" i="17"/>
  <c r="C18" i="17" s="1"/>
  <c r="C19" i="17" s="1"/>
  <c r="C20" i="17" s="1"/>
  <c r="C21" i="17" s="1"/>
  <c r="C22" i="17" s="1"/>
  <c r="C23" i="17" s="1"/>
  <c r="C24" i="17" s="1"/>
  <c r="C25" i="17" s="1"/>
  <c r="C26" i="17" s="1"/>
  <c r="C27" i="17" s="1"/>
  <c r="C28" i="17" s="1"/>
  <c r="C29" i="17" s="1"/>
  <c r="C30" i="17" s="1"/>
  <c r="C31" i="17" s="1"/>
  <c r="C32" i="17" s="1"/>
  <c r="C33" i="17" s="1"/>
  <c r="C34" i="17" s="1"/>
  <c r="C35" i="17" s="1"/>
  <c r="C36" i="17" s="1"/>
  <c r="C37" i="17" s="1"/>
  <c r="C38" i="17" s="1"/>
  <c r="C39" i="17" s="1"/>
  <c r="C40" i="17" s="1"/>
  <c r="C41" i="17" s="1"/>
  <c r="C42" i="17" s="1"/>
  <c r="C43" i="17" s="1"/>
  <c r="C44" i="17" s="1"/>
  <c r="C45" i="17" s="1"/>
  <c r="E98" i="15"/>
  <c r="E99" i="15" s="1"/>
  <c r="E100" i="15" s="1"/>
  <c r="E101" i="15" s="1"/>
  <c r="E102" i="15" s="1"/>
  <c r="E103" i="15" s="1"/>
  <c r="E104" i="15" s="1"/>
  <c r="E105" i="15" s="1"/>
  <c r="E106" i="15" s="1"/>
  <c r="E107" i="15" s="1"/>
  <c r="E108" i="15" s="1"/>
  <c r="E109" i="15" s="1"/>
  <c r="E110" i="15" s="1"/>
  <c r="E111" i="15" s="1"/>
  <c r="E112" i="15" s="1"/>
  <c r="E113" i="15" s="1"/>
  <c r="E114" i="15" s="1"/>
  <c r="E115" i="15" s="1"/>
  <c r="E116" i="15" s="1"/>
  <c r="E117" i="15" s="1"/>
  <c r="V94" i="15"/>
  <c r="V95" i="15" s="1"/>
  <c r="V96" i="15" s="1"/>
  <c r="V97" i="15" s="1"/>
  <c r="V98" i="15" s="1"/>
  <c r="V99" i="15" s="1"/>
  <c r="V100" i="15" s="1"/>
  <c r="V101" i="15" s="1"/>
  <c r="V102" i="15" s="1"/>
  <c r="V103" i="15" s="1"/>
  <c r="V104" i="15" s="1"/>
  <c r="V105" i="15" s="1"/>
  <c r="V106" i="15" s="1"/>
  <c r="V107" i="15" s="1"/>
  <c r="V108" i="15" s="1"/>
  <c r="V109" i="15" s="1"/>
  <c r="V110" i="15" s="1"/>
  <c r="V111" i="15" s="1"/>
  <c r="V112" i="15" s="1"/>
  <c r="V113" i="15" s="1"/>
  <c r="V114" i="15" s="1"/>
  <c r="V115" i="15" s="1"/>
  <c r="V116" i="15" s="1"/>
  <c r="V117" i="15" s="1"/>
  <c r="V118" i="15" s="1"/>
  <c r="V119" i="15" s="1"/>
  <c r="V120" i="15" s="1"/>
  <c r="E94" i="15"/>
  <c r="E95" i="15" s="1"/>
  <c r="E96" i="15" s="1"/>
  <c r="E97" i="15" s="1"/>
  <c r="E24" i="15"/>
  <c r="E25" i="15" s="1"/>
  <c r="E26" i="15" s="1"/>
  <c r="E27" i="15" s="1"/>
  <c r="E28" i="15" s="1"/>
  <c r="E29" i="15" s="1"/>
  <c r="E30" i="15" s="1"/>
  <c r="E31" i="15" s="1"/>
  <c r="E32" i="15" s="1"/>
  <c r="E21" i="15"/>
  <c r="E22" i="15" s="1"/>
  <c r="E23" i="15" s="1"/>
  <c r="AI20" i="15"/>
  <c r="AI21" i="15" s="1"/>
  <c r="AI22" i="15" s="1"/>
  <c r="AI23" i="15" s="1"/>
  <c r="AI24" i="15" s="1"/>
  <c r="AI25" i="15" s="1"/>
  <c r="AI26" i="15" s="1"/>
  <c r="AI27" i="15" s="1"/>
  <c r="AI28" i="15" s="1"/>
  <c r="AI29" i="15" s="1"/>
  <c r="AI30" i="15" s="1"/>
  <c r="AI31" i="15" s="1"/>
  <c r="AI32" i="15" s="1"/>
  <c r="AI33" i="15" s="1"/>
  <c r="AI34" i="15" s="1"/>
  <c r="AI35" i="15" s="1"/>
  <c r="AI36" i="15" s="1"/>
  <c r="AI37" i="15" s="1"/>
  <c r="AI38" i="15" s="1"/>
  <c r="AI39" i="15" s="1"/>
  <c r="AI40" i="15" s="1"/>
  <c r="AI41" i="15" s="1"/>
  <c r="AI42" i="15" s="1"/>
  <c r="AI43" i="15" s="1"/>
  <c r="AI44" i="15" s="1"/>
  <c r="AI45" i="15" s="1"/>
  <c r="AI46" i="15" s="1"/>
  <c r="U20" i="15"/>
  <c r="U21" i="15" s="1"/>
  <c r="U22" i="15" s="1"/>
  <c r="U23" i="15" s="1"/>
  <c r="U24" i="15" s="1"/>
  <c r="U25" i="15" s="1"/>
  <c r="U26" i="15" s="1"/>
  <c r="U27" i="15" s="1"/>
  <c r="U28" i="15" s="1"/>
  <c r="U29" i="15" s="1"/>
  <c r="U30" i="15" s="1"/>
  <c r="U31" i="15" s="1"/>
  <c r="U32" i="15" s="1"/>
  <c r="U33" i="15" s="1"/>
  <c r="U34" i="15" s="1"/>
  <c r="U35" i="15" s="1"/>
  <c r="U36" i="15" s="1"/>
  <c r="U37" i="15" s="1"/>
  <c r="U38" i="15" s="1"/>
  <c r="U39" i="15" s="1"/>
  <c r="U40" i="15" s="1"/>
  <c r="U41" i="15" s="1"/>
  <c r="U42" i="15" s="1"/>
  <c r="U43" i="15" s="1"/>
  <c r="U44" i="15" s="1"/>
  <c r="U45" i="15" s="1"/>
  <c r="U46" i="15" s="1"/>
  <c r="U47" i="15" s="1"/>
  <c r="U48" i="15" s="1"/>
  <c r="U49" i="15" s="1"/>
  <c r="U50" i="15" s="1"/>
  <c r="U51" i="15" s="1"/>
  <c r="U52" i="15" s="1"/>
  <c r="U53" i="15" s="1"/>
  <c r="U54" i="15" s="1"/>
  <c r="U55" i="15" s="1"/>
  <c r="U56" i="15" s="1"/>
  <c r="U57" i="15" s="1"/>
  <c r="E20" i="15"/>
  <c r="AS85" i="14"/>
  <c r="BF48" i="14"/>
  <c r="BF73" i="14" s="1"/>
  <c r="S47" i="14"/>
  <c r="S46" i="14"/>
  <c r="S72" i="14" s="1"/>
  <c r="AF45" i="14"/>
  <c r="AF73" i="14" s="1"/>
  <c r="F34" i="14"/>
  <c r="F28" i="14"/>
  <c r="N17" i="14"/>
  <c r="N18" i="14" s="1"/>
  <c r="N19" i="14" s="1"/>
  <c r="N20" i="14" s="1"/>
  <c r="N21" i="14" s="1"/>
  <c r="N22" i="14" s="1"/>
  <c r="N23" i="14" s="1"/>
  <c r="N24" i="14" s="1"/>
  <c r="N25" i="14" s="1"/>
  <c r="N26" i="14" s="1"/>
  <c r="N27" i="14" s="1"/>
  <c r="N28" i="14" s="1"/>
  <c r="N29" i="14" s="1"/>
  <c r="N30" i="14" s="1"/>
  <c r="N31" i="14" s="1"/>
  <c r="N32" i="14" s="1"/>
  <c r="N33" i="14" s="1"/>
  <c r="N34" i="14" s="1"/>
  <c r="N35" i="14" s="1"/>
  <c r="N36" i="14" s="1"/>
  <c r="N37" i="14" s="1"/>
  <c r="N38" i="14" s="1"/>
  <c r="N39" i="14" s="1"/>
  <c r="N40" i="14" s="1"/>
  <c r="N41" i="14" s="1"/>
  <c r="N42" i="14" s="1"/>
  <c r="N43" i="14" s="1"/>
  <c r="N44" i="14" s="1"/>
  <c r="N45" i="14" s="1"/>
  <c r="N46" i="14" s="1"/>
  <c r="N47" i="14" s="1"/>
  <c r="N48" i="14" s="1"/>
  <c r="N49" i="14" s="1"/>
  <c r="N50" i="14" s="1"/>
  <c r="N51" i="14" s="1"/>
  <c r="N52" i="14" s="1"/>
  <c r="N53" i="14" s="1"/>
  <c r="N54" i="14" s="1"/>
  <c r="N55" i="14" s="1"/>
  <c r="N56" i="14" s="1"/>
  <c r="N57" i="14" s="1"/>
  <c r="N58" i="14" s="1"/>
  <c r="N59" i="14" s="1"/>
  <c r="N60" i="14" s="1"/>
  <c r="N61" i="14" s="1"/>
  <c r="N62" i="14" s="1"/>
  <c r="N63" i="14" s="1"/>
  <c r="N64" i="14" s="1"/>
  <c r="N65" i="14" s="1"/>
  <c r="BA16" i="14"/>
  <c r="BA17" i="14" s="1"/>
  <c r="BA18" i="14" s="1"/>
  <c r="BA19" i="14" s="1"/>
  <c r="BA20" i="14" s="1"/>
  <c r="BA21" i="14" s="1"/>
  <c r="BA22" i="14" s="1"/>
  <c r="BA23" i="14" s="1"/>
  <c r="BA24" i="14" s="1"/>
  <c r="BA25" i="14" s="1"/>
  <c r="BA26" i="14" s="1"/>
  <c r="BA27" i="14" s="1"/>
  <c r="BA28" i="14" s="1"/>
  <c r="BA29" i="14" s="1"/>
  <c r="BA30" i="14" s="1"/>
  <c r="BA31" i="14" s="1"/>
  <c r="BA32" i="14" s="1"/>
  <c r="BA33" i="14" s="1"/>
  <c r="BA34" i="14" s="1"/>
  <c r="BA35" i="14" s="1"/>
  <c r="BA36" i="14" s="1"/>
  <c r="BA37" i="14" s="1"/>
  <c r="BA38" i="14" s="1"/>
  <c r="BA39" i="14" s="1"/>
  <c r="BA40" i="14" s="1"/>
  <c r="BA41" i="14" s="1"/>
  <c r="BA42" i="14" s="1"/>
  <c r="BA43" i="14" s="1"/>
  <c r="BA44" i="14" s="1"/>
  <c r="BA45" i="14" s="1"/>
  <c r="BA46" i="14" s="1"/>
  <c r="BA47" i="14" s="1"/>
  <c r="BA48" i="14" s="1"/>
  <c r="BA49" i="14" s="1"/>
  <c r="BA50" i="14" s="1"/>
  <c r="BA51" i="14" s="1"/>
  <c r="BA52" i="14" s="1"/>
  <c r="BA53" i="14" s="1"/>
  <c r="BA54" i="14" s="1"/>
  <c r="BA55" i="14" s="1"/>
  <c r="BA56" i="14" s="1"/>
  <c r="BA57" i="14" s="1"/>
  <c r="BA58" i="14" s="1"/>
  <c r="BA59" i="14" s="1"/>
  <c r="BA60" i="14" s="1"/>
  <c r="BA61" i="14" s="1"/>
  <c r="BA62" i="14" s="1"/>
  <c r="BA63" i="14" s="1"/>
  <c r="BA64" i="14" s="1"/>
  <c r="BA65" i="14" s="1"/>
  <c r="AN16" i="14"/>
  <c r="AN17" i="14" s="1"/>
  <c r="AN18" i="14" s="1"/>
  <c r="AN19" i="14" s="1"/>
  <c r="AN20" i="14" s="1"/>
  <c r="AN21" i="14" s="1"/>
  <c r="AN22" i="14" s="1"/>
  <c r="AN23" i="14" s="1"/>
  <c r="AN24" i="14" s="1"/>
  <c r="AN25" i="14" s="1"/>
  <c r="AN26" i="14" s="1"/>
  <c r="AN27" i="14" s="1"/>
  <c r="AN28" i="14" s="1"/>
  <c r="AN29" i="14" s="1"/>
  <c r="AN30" i="14" s="1"/>
  <c r="AN31" i="14" s="1"/>
  <c r="AN32" i="14" s="1"/>
  <c r="AN33" i="14" s="1"/>
  <c r="AN34" i="14" s="1"/>
  <c r="AN35" i="14" s="1"/>
  <c r="AN36" i="14" s="1"/>
  <c r="AN37" i="14" s="1"/>
  <c r="AN38" i="14" s="1"/>
  <c r="AN39" i="14" s="1"/>
  <c r="AN40" i="14" s="1"/>
  <c r="AN41" i="14" s="1"/>
  <c r="AN42" i="14" s="1"/>
  <c r="AN43" i="14" s="1"/>
  <c r="AN44" i="14" s="1"/>
  <c r="AN45" i="14" s="1"/>
  <c r="AN46" i="14" s="1"/>
  <c r="AN47" i="14" s="1"/>
  <c r="AN48" i="14" s="1"/>
  <c r="AN49" i="14" s="1"/>
  <c r="AN50" i="14" s="1"/>
  <c r="AN51" i="14" s="1"/>
  <c r="AN52" i="14" s="1"/>
  <c r="AN53" i="14" s="1"/>
  <c r="AN54" i="14" s="1"/>
  <c r="AN55" i="14" s="1"/>
  <c r="AN56" i="14" s="1"/>
  <c r="AN57" i="14" s="1"/>
  <c r="AN58" i="14" s="1"/>
  <c r="AN59" i="14" s="1"/>
  <c r="AN60" i="14" s="1"/>
  <c r="AN61" i="14" s="1"/>
  <c r="AN62" i="14" s="1"/>
  <c r="AN63" i="14" s="1"/>
  <c r="AN64" i="14" s="1"/>
  <c r="AN65" i="14" s="1"/>
  <c r="AN66" i="14" s="1"/>
  <c r="AN67" i="14" s="1"/>
  <c r="AN68" i="14" s="1"/>
  <c r="AN69" i="14" s="1"/>
  <c r="AN70" i="14" s="1"/>
  <c r="AN71" i="14" s="1"/>
  <c r="AN72" i="14" s="1"/>
  <c r="AN73" i="14" s="1"/>
  <c r="AN74" i="14" s="1"/>
  <c r="AN75" i="14" s="1"/>
  <c r="AN76" i="14" s="1"/>
  <c r="AN77" i="14" s="1"/>
  <c r="AN78" i="14" s="1"/>
  <c r="AA16" i="14"/>
  <c r="AA17" i="14" s="1"/>
  <c r="AA18" i="14" s="1"/>
  <c r="AA19" i="14" s="1"/>
  <c r="AA20" i="14" s="1"/>
  <c r="AA21" i="14" s="1"/>
  <c r="AA22" i="14" s="1"/>
  <c r="AA23" i="14" s="1"/>
  <c r="AA24" i="14" s="1"/>
  <c r="AA25" i="14" s="1"/>
  <c r="AA26" i="14" s="1"/>
  <c r="AA27" i="14" s="1"/>
  <c r="AA28" i="14" s="1"/>
  <c r="AA29" i="14" s="1"/>
  <c r="AA30" i="14" s="1"/>
  <c r="AA31" i="14" s="1"/>
  <c r="AA32" i="14" s="1"/>
  <c r="AA33" i="14" s="1"/>
  <c r="AA34" i="14" s="1"/>
  <c r="AA35" i="14" s="1"/>
  <c r="AA36" i="14" s="1"/>
  <c r="AA37" i="14" s="1"/>
  <c r="AA38" i="14" s="1"/>
  <c r="AA39" i="14" s="1"/>
  <c r="AA40" i="14" s="1"/>
  <c r="AA41" i="14" s="1"/>
  <c r="AA42" i="14" s="1"/>
  <c r="AA43" i="14" s="1"/>
  <c r="AA44" i="14" s="1"/>
  <c r="AA45" i="14" s="1"/>
  <c r="AA46" i="14" s="1"/>
  <c r="AA47" i="14" s="1"/>
  <c r="AA48" i="14" s="1"/>
  <c r="AA49" i="14" s="1"/>
  <c r="AA50" i="14" s="1"/>
  <c r="AA51" i="14" s="1"/>
  <c r="AA52" i="14" s="1"/>
  <c r="AA53" i="14" s="1"/>
  <c r="AA54" i="14" s="1"/>
  <c r="AA55" i="14" s="1"/>
  <c r="AA56" i="14" s="1"/>
  <c r="AA57" i="14" s="1"/>
  <c r="AA58" i="14" s="1"/>
  <c r="AA59" i="14" s="1"/>
  <c r="AA60" i="14" s="1"/>
  <c r="AA61" i="14" s="1"/>
  <c r="AA62" i="14" s="1"/>
  <c r="AA63" i="14" s="1"/>
  <c r="AA64" i="14" s="1"/>
  <c r="AA65" i="14" s="1"/>
  <c r="AA66" i="14" s="1"/>
  <c r="N16" i="14"/>
  <c r="A16" i="14"/>
  <c r="A17" i="14" s="1"/>
  <c r="A18" i="14" s="1"/>
  <c r="A19" i="14" s="1"/>
  <c r="A20" i="14" s="1"/>
  <c r="A21" i="14" s="1"/>
  <c r="A22" i="14" s="1"/>
  <c r="A23" i="14" s="1"/>
  <c r="A24" i="14" s="1"/>
  <c r="A25" i="14" s="1"/>
  <c r="A26" i="14" s="1"/>
  <c r="A27" i="14" s="1"/>
  <c r="A28" i="14" s="1"/>
  <c r="A29" i="14" s="1"/>
  <c r="A30" i="14" s="1"/>
  <c r="A31" i="14" s="1"/>
  <c r="A32" i="14" s="1"/>
  <c r="A33" i="14" s="1"/>
  <c r="A34" i="14" s="1"/>
  <c r="A35" i="14" s="1"/>
  <c r="A36" i="14" s="1"/>
  <c r="A37" i="14" s="1"/>
  <c r="A38" i="14" s="1"/>
  <c r="A39" i="14" s="1"/>
  <c r="A40" i="14" s="1"/>
  <c r="A41" i="14" s="1"/>
  <c r="A42" i="14" s="1"/>
  <c r="A43" i="14" s="1"/>
  <c r="A44" i="14" s="1"/>
  <c r="A45" i="14" s="1"/>
  <c r="A46" i="14" s="1"/>
  <c r="A47" i="14" s="1"/>
  <c r="A48" i="14" s="1"/>
  <c r="A49" i="14" s="1"/>
  <c r="A50" i="14" s="1"/>
  <c r="A51" i="14" s="1"/>
  <c r="A52" i="14" s="1"/>
  <c r="A53" i="14" s="1"/>
  <c r="A54" i="14" s="1"/>
  <c r="F15" i="14"/>
  <c r="G95" i="13"/>
  <c r="F95" i="13"/>
  <c r="E95" i="13"/>
  <c r="A70" i="13"/>
  <c r="A71" i="13" s="1"/>
  <c r="A72" i="13" s="1"/>
  <c r="A73" i="13" s="1"/>
  <c r="A74" i="13" s="1"/>
  <c r="A75" i="13" s="1"/>
  <c r="A76" i="13" s="1"/>
  <c r="A77" i="13" s="1"/>
  <c r="A78" i="13" s="1"/>
  <c r="A79" i="13" s="1"/>
  <c r="A80" i="13" s="1"/>
  <c r="A81" i="13" s="1"/>
  <c r="A82" i="13" s="1"/>
  <c r="A83" i="13" s="1"/>
  <c r="A84" i="13" s="1"/>
  <c r="A85" i="13" s="1"/>
  <c r="V68" i="13"/>
  <c r="T68" i="13"/>
  <c r="S68" i="13"/>
  <c r="R68" i="13"/>
  <c r="AF63" i="13"/>
  <c r="U68" i="13" s="1"/>
  <c r="AE63" i="13"/>
  <c r="AD63" i="13"/>
  <c r="AC63" i="13"/>
  <c r="U58" i="13"/>
  <c r="T58" i="13"/>
  <c r="S58" i="13"/>
  <c r="R58" i="13"/>
  <c r="F51" i="13"/>
  <c r="V65" i="13" s="1"/>
  <c r="V70" i="13" s="1"/>
  <c r="E51" i="13"/>
  <c r="D51" i="13"/>
  <c r="C51" i="13"/>
  <c r="R65" i="13" s="1"/>
  <c r="AA19" i="13"/>
  <c r="AA20" i="13" s="1"/>
  <c r="AA21" i="13" s="1"/>
  <c r="AA22" i="13" s="1"/>
  <c r="AA23" i="13" s="1"/>
  <c r="AA24" i="13" s="1"/>
  <c r="AA25" i="13" s="1"/>
  <c r="AA26" i="13" s="1"/>
  <c r="AA27" i="13" s="1"/>
  <c r="AA28" i="13" s="1"/>
  <c r="AA29" i="13" s="1"/>
  <c r="AA30" i="13" s="1"/>
  <c r="AA31" i="13" s="1"/>
  <c r="AA32" i="13" s="1"/>
  <c r="AA33" i="13" s="1"/>
  <c r="AA34" i="13" s="1"/>
  <c r="AA35" i="13" s="1"/>
  <c r="AA36" i="13" s="1"/>
  <c r="AA37" i="13" s="1"/>
  <c r="AA38" i="13" s="1"/>
  <c r="AA39" i="13" s="1"/>
  <c r="AA40" i="13" s="1"/>
  <c r="AA41" i="13" s="1"/>
  <c r="AA42" i="13" s="1"/>
  <c r="AA43" i="13" s="1"/>
  <c r="AA44" i="13" s="1"/>
  <c r="AA45" i="13" s="1"/>
  <c r="AA46" i="13" s="1"/>
  <c r="AA47" i="13" s="1"/>
  <c r="AA48" i="13" s="1"/>
  <c r="AA49" i="13" s="1"/>
  <c r="AA50" i="13" s="1"/>
  <c r="AA51" i="13" s="1"/>
  <c r="AA52" i="13" s="1"/>
  <c r="AA53" i="13" s="1"/>
  <c r="AA54" i="13" s="1"/>
  <c r="AA55" i="13" s="1"/>
  <c r="N16" i="13"/>
  <c r="N17" i="13" s="1"/>
  <c r="N18" i="13" s="1"/>
  <c r="N19" i="13" s="1"/>
  <c r="N20" i="13" s="1"/>
  <c r="N21" i="13" s="1"/>
  <c r="N22" i="13" s="1"/>
  <c r="N23" i="13" s="1"/>
  <c r="N24" i="13" s="1"/>
  <c r="N25" i="13" s="1"/>
  <c r="N26" i="13" s="1"/>
  <c r="N27" i="13" s="1"/>
  <c r="N28" i="13" s="1"/>
  <c r="N29" i="13" s="1"/>
  <c r="N30" i="13" s="1"/>
  <c r="N31" i="13" s="1"/>
  <c r="N32" i="13" s="1"/>
  <c r="N33" i="13" s="1"/>
  <c r="N34" i="13" s="1"/>
  <c r="N35" i="13" s="1"/>
  <c r="N36" i="13" s="1"/>
  <c r="N37" i="13" s="1"/>
  <c r="N38" i="13" s="1"/>
  <c r="N39" i="13" s="1"/>
  <c r="N40" i="13" s="1"/>
  <c r="N41" i="13" s="1"/>
  <c r="N42" i="13" s="1"/>
  <c r="N43" i="13" s="1"/>
  <c r="N44" i="13" s="1"/>
  <c r="N45" i="13" s="1"/>
  <c r="N46" i="13" s="1"/>
  <c r="N47" i="13" s="1"/>
  <c r="N48" i="13" s="1"/>
  <c r="N49" i="13" s="1"/>
  <c r="N50" i="13" s="1"/>
  <c r="A16" i="13"/>
  <c r="A17" i="13" s="1"/>
  <c r="A18" i="13" s="1"/>
  <c r="A19" i="13" s="1"/>
  <c r="A20" i="13" s="1"/>
  <c r="A21" i="13" s="1"/>
  <c r="A22" i="13" s="1"/>
  <c r="A23" i="13" s="1"/>
  <c r="A24" i="13" s="1"/>
  <c r="A25" i="13" s="1"/>
  <c r="A26" i="13" s="1"/>
  <c r="A27" i="13" s="1"/>
  <c r="A28" i="13" s="1"/>
  <c r="A29" i="13" s="1"/>
  <c r="A30" i="13" s="1"/>
  <c r="A31" i="13" s="1"/>
  <c r="A32" i="13" s="1"/>
  <c r="A33" i="13" s="1"/>
  <c r="A34" i="13" s="1"/>
  <c r="A35" i="13" s="1"/>
  <c r="A36" i="13" s="1"/>
  <c r="A37" i="13" s="1"/>
  <c r="A38" i="13" s="1"/>
  <c r="A39" i="13" s="1"/>
  <c r="A40" i="13" s="1"/>
  <c r="A41" i="13" s="1"/>
  <c r="A42" i="13" s="1"/>
  <c r="A43" i="13" s="1"/>
  <c r="A345" i="12"/>
  <c r="A346" i="12" s="1"/>
  <c r="A347" i="12" s="1"/>
  <c r="A348" i="12" s="1"/>
  <c r="A349" i="12" s="1"/>
  <c r="A350" i="12" s="1"/>
  <c r="A351" i="12" s="1"/>
  <c r="A352" i="12" s="1"/>
  <c r="A353" i="12" s="1"/>
  <c r="A354" i="12" s="1"/>
  <c r="A355" i="12" s="1"/>
  <c r="A356" i="12" s="1"/>
  <c r="A357" i="12" s="1"/>
  <c r="A358" i="12" s="1"/>
  <c r="A359" i="12" s="1"/>
  <c r="A360" i="12" s="1"/>
  <c r="AT68" i="12"/>
  <c r="AT63" i="12"/>
  <c r="S63" i="12"/>
  <c r="AG51" i="12"/>
  <c r="AG45" i="12"/>
  <c r="AT36" i="12"/>
  <c r="S22" i="12"/>
  <c r="N19" i="12"/>
  <c r="N20" i="12" s="1"/>
  <c r="N21" i="12" s="1"/>
  <c r="N22" i="12" s="1"/>
  <c r="N23" i="12" s="1"/>
  <c r="N24" i="12" s="1"/>
  <c r="N25" i="12" s="1"/>
  <c r="N26" i="12" s="1"/>
  <c r="N27" i="12" s="1"/>
  <c r="N28" i="12" s="1"/>
  <c r="N29" i="12" s="1"/>
  <c r="N30" i="12" s="1"/>
  <c r="N31" i="12" s="1"/>
  <c r="N32" i="12" s="1"/>
  <c r="N33" i="12" s="1"/>
  <c r="N34" i="12" s="1"/>
  <c r="N35" i="12" s="1"/>
  <c r="N36" i="12" s="1"/>
  <c r="N37" i="12" s="1"/>
  <c r="N38" i="12" s="1"/>
  <c r="N39" i="12" s="1"/>
  <c r="N40" i="12" s="1"/>
  <c r="N41" i="12" s="1"/>
  <c r="N42" i="12" s="1"/>
  <c r="N43" i="12" s="1"/>
  <c r="N44" i="12" s="1"/>
  <c r="N45" i="12" s="1"/>
  <c r="N46" i="12" s="1"/>
  <c r="N47" i="12" s="1"/>
  <c r="N48" i="12" s="1"/>
  <c r="N49" i="12" s="1"/>
  <c r="N50" i="12" s="1"/>
  <c r="N51" i="12" s="1"/>
  <c r="N52" i="12" s="1"/>
  <c r="N53" i="12" s="1"/>
  <c r="N54" i="12" s="1"/>
  <c r="N55" i="12" s="1"/>
  <c r="N56" i="12" s="1"/>
  <c r="N57" i="12" s="1"/>
  <c r="N58" i="12" s="1"/>
  <c r="N59" i="12" s="1"/>
  <c r="N60" i="12" s="1"/>
  <c r="N61" i="12" s="1"/>
  <c r="N62" i="12" s="1"/>
  <c r="N63" i="12" s="1"/>
  <c r="N64" i="12" s="1"/>
  <c r="N65" i="12" s="1"/>
  <c r="N66" i="12" s="1"/>
  <c r="N67" i="12" s="1"/>
  <c r="N68" i="12" s="1"/>
  <c r="N69" i="12" s="1"/>
  <c r="N70" i="12" s="1"/>
  <c r="N71" i="12" s="1"/>
  <c r="N72" i="12" s="1"/>
  <c r="N73" i="12" s="1"/>
  <c r="N74" i="12" s="1"/>
  <c r="N75" i="12" s="1"/>
  <c r="N76" i="12" s="1"/>
  <c r="N77" i="12" s="1"/>
  <c r="N78" i="12" s="1"/>
  <c r="N79" i="12" s="1"/>
  <c r="N80" i="12" s="1"/>
  <c r="N81" i="12" s="1"/>
  <c r="N82" i="12" s="1"/>
  <c r="N83" i="12" s="1"/>
  <c r="N84" i="12" s="1"/>
  <c r="N85" i="12" s="1"/>
  <c r="N86" i="12" s="1"/>
  <c r="N87" i="12" s="1"/>
  <c r="AO17" i="12"/>
  <c r="AO18" i="12" s="1"/>
  <c r="AO19" i="12" s="1"/>
  <c r="AO20" i="12" s="1"/>
  <c r="AO21" i="12" s="1"/>
  <c r="AO22" i="12" s="1"/>
  <c r="AO23" i="12" s="1"/>
  <c r="AO24" i="12" s="1"/>
  <c r="AO25" i="12" s="1"/>
  <c r="AO26" i="12" s="1"/>
  <c r="AO27" i="12" s="1"/>
  <c r="AO28" i="12" s="1"/>
  <c r="AO29" i="12" s="1"/>
  <c r="AO30" i="12" s="1"/>
  <c r="AO31" i="12" s="1"/>
  <c r="AO32" i="12" s="1"/>
  <c r="AO33" i="12" s="1"/>
  <c r="AO34" i="12" s="1"/>
  <c r="AO35" i="12" s="1"/>
  <c r="AO36" i="12" s="1"/>
  <c r="AO37" i="12" s="1"/>
  <c r="AO38" i="12" s="1"/>
  <c r="AO39" i="12" s="1"/>
  <c r="AO40" i="12" s="1"/>
  <c r="AO41" i="12" s="1"/>
  <c r="AO42" i="12" s="1"/>
  <c r="AO43" i="12" s="1"/>
  <c r="AO44" i="12" s="1"/>
  <c r="AO45" i="12" s="1"/>
  <c r="AO46" i="12" s="1"/>
  <c r="AO47" i="12" s="1"/>
  <c r="AO48" i="12" s="1"/>
  <c r="AO49" i="12" s="1"/>
  <c r="AO50" i="12" s="1"/>
  <c r="AO51" i="12" s="1"/>
  <c r="AO52" i="12" s="1"/>
  <c r="AO53" i="12" s="1"/>
  <c r="AO54" i="12" s="1"/>
  <c r="AO55" i="12" s="1"/>
  <c r="AO56" i="12" s="1"/>
  <c r="AO57" i="12" s="1"/>
  <c r="AO58" i="12" s="1"/>
  <c r="AO59" i="12" s="1"/>
  <c r="AO60" i="12" s="1"/>
  <c r="AO61" i="12" s="1"/>
  <c r="AO62" i="12" s="1"/>
  <c r="AO63" i="12" s="1"/>
  <c r="AO64" i="12" s="1"/>
  <c r="AO65" i="12" s="1"/>
  <c r="AO66" i="12" s="1"/>
  <c r="AO67" i="12" s="1"/>
  <c r="AO68" i="12" s="1"/>
  <c r="AO69" i="12" s="1"/>
  <c r="AO70" i="12" s="1"/>
  <c r="AO71" i="12" s="1"/>
  <c r="AO72" i="12" s="1"/>
  <c r="AO73" i="12" s="1"/>
  <c r="AO74" i="12" s="1"/>
  <c r="AO75" i="12" s="1"/>
  <c r="AO76" i="12" s="1"/>
  <c r="AO77" i="12" s="1"/>
  <c r="AO78" i="12" s="1"/>
  <c r="AO79" i="12" s="1"/>
  <c r="AO80" i="12" s="1"/>
  <c r="AO81" i="12" s="1"/>
  <c r="AO82" i="12" s="1"/>
  <c r="AO83" i="12" s="1"/>
  <c r="AO84" i="12" s="1"/>
  <c r="AO85" i="12" s="1"/>
  <c r="AO86" i="12" s="1"/>
  <c r="AO87" i="12" s="1"/>
  <c r="AO88" i="12" s="1"/>
  <c r="AO89" i="12" s="1"/>
  <c r="AO90" i="12" s="1"/>
  <c r="AO91" i="12" s="1"/>
  <c r="AO92" i="12" s="1"/>
  <c r="AO93" i="12" s="1"/>
  <c r="AO94" i="12" s="1"/>
  <c r="AO95" i="12" s="1"/>
  <c r="AO96" i="12" s="1"/>
  <c r="AO97" i="12" s="1"/>
  <c r="AO98" i="12" s="1"/>
  <c r="AO99" i="12" s="1"/>
  <c r="AO100" i="12" s="1"/>
  <c r="AO101" i="12" s="1"/>
  <c r="AO102" i="12" s="1"/>
  <c r="AB17" i="12"/>
  <c r="AB18" i="12" s="1"/>
  <c r="AB19" i="12" s="1"/>
  <c r="AB20" i="12" s="1"/>
  <c r="AB21" i="12" s="1"/>
  <c r="AB22" i="12" s="1"/>
  <c r="AB23" i="12" s="1"/>
  <c r="AB24" i="12" s="1"/>
  <c r="AB25" i="12" s="1"/>
  <c r="AB26" i="12" s="1"/>
  <c r="AB27" i="12" s="1"/>
  <c r="AB28" i="12" s="1"/>
  <c r="AB29" i="12" s="1"/>
  <c r="AB30" i="12" s="1"/>
  <c r="AB31" i="12" s="1"/>
  <c r="AB32" i="12" s="1"/>
  <c r="AB33" i="12" s="1"/>
  <c r="AB34" i="12" s="1"/>
  <c r="AB35" i="12" s="1"/>
  <c r="AB36" i="12" s="1"/>
  <c r="AB37" i="12" s="1"/>
  <c r="AB38" i="12" s="1"/>
  <c r="AB39" i="12" s="1"/>
  <c r="AB40" i="12" s="1"/>
  <c r="AB41" i="12" s="1"/>
  <c r="AB42" i="12" s="1"/>
  <c r="AB43" i="12" s="1"/>
  <c r="AB44" i="12" s="1"/>
  <c r="AB45" i="12" s="1"/>
  <c r="AB46" i="12" s="1"/>
  <c r="AB47" i="12" s="1"/>
  <c r="AB48" i="12" s="1"/>
  <c r="AB49" i="12" s="1"/>
  <c r="AB50" i="12" s="1"/>
  <c r="AB51" i="12" s="1"/>
  <c r="AB52" i="12" s="1"/>
  <c r="AB53" i="12" s="1"/>
  <c r="AB54" i="12" s="1"/>
  <c r="AB55" i="12" s="1"/>
  <c r="AB56" i="12" s="1"/>
  <c r="AB57" i="12" s="1"/>
  <c r="AB58" i="12" s="1"/>
  <c r="AB59" i="12" s="1"/>
  <c r="AB60" i="12" s="1"/>
  <c r="AB61" i="12" s="1"/>
  <c r="AB62" i="12" s="1"/>
  <c r="AB63" i="12" s="1"/>
  <c r="AB64" i="12" s="1"/>
  <c r="AB65" i="12" s="1"/>
  <c r="AB66" i="12" s="1"/>
  <c r="AB67" i="12" s="1"/>
  <c r="AB68" i="12" s="1"/>
  <c r="AB69" i="12" s="1"/>
  <c r="AB70" i="12" s="1"/>
  <c r="AB71" i="12" s="1"/>
  <c r="AB72" i="12" s="1"/>
  <c r="AB73" i="12" s="1"/>
  <c r="AB74" i="12" s="1"/>
  <c r="AB75" i="12" s="1"/>
  <c r="AB76" i="12" s="1"/>
  <c r="AB77" i="12" s="1"/>
  <c r="BB16" i="12"/>
  <c r="BB17" i="12" s="1"/>
  <c r="BB18" i="12" s="1"/>
  <c r="BB19" i="12" s="1"/>
  <c r="BB20" i="12" s="1"/>
  <c r="BB21" i="12" s="1"/>
  <c r="BB22" i="12" s="1"/>
  <c r="BB23" i="12" s="1"/>
  <c r="BB24" i="12" s="1"/>
  <c r="AO16" i="12"/>
  <c r="AB16" i="12"/>
  <c r="N16" i="12"/>
  <c r="N17" i="12" s="1"/>
  <c r="N18" i="12" s="1"/>
  <c r="A16" i="12"/>
  <c r="A17" i="12" s="1"/>
  <c r="A18" i="12" s="1"/>
  <c r="A19" i="12" s="1"/>
  <c r="A20" i="12" s="1"/>
  <c r="A21" i="12" s="1"/>
  <c r="A22" i="12" s="1"/>
  <c r="A23" i="12" s="1"/>
  <c r="A24" i="12" s="1"/>
  <c r="A25" i="12" s="1"/>
  <c r="A26" i="12" s="1"/>
  <c r="A27" i="12" s="1"/>
  <c r="A28" i="12" s="1"/>
  <c r="A29" i="12" s="1"/>
  <c r="A30" i="12" s="1"/>
  <c r="A31" i="12" s="1"/>
  <c r="A32" i="12" s="1"/>
  <c r="A33" i="12" s="1"/>
  <c r="A34" i="12" s="1"/>
  <c r="A35" i="12" s="1"/>
  <c r="A36" i="12" s="1"/>
  <c r="A37" i="12" s="1"/>
  <c r="A38" i="12" s="1"/>
  <c r="A39" i="12" s="1"/>
  <c r="A40" i="12" s="1"/>
  <c r="A41" i="12" s="1"/>
  <c r="A42" i="12" s="1"/>
  <c r="A43" i="12" s="1"/>
  <c r="A44" i="12" s="1"/>
  <c r="A45" i="12" s="1"/>
  <c r="A46" i="12" s="1"/>
  <c r="A47" i="12" s="1"/>
  <c r="A48" i="12" s="1"/>
  <c r="A49" i="12" s="1"/>
  <c r="A50" i="12" s="1"/>
  <c r="A51" i="12" s="1"/>
  <c r="A52" i="12" s="1"/>
  <c r="A53" i="12" s="1"/>
  <c r="A54" i="12" s="1"/>
  <c r="A55" i="12" s="1"/>
  <c r="A56" i="12" s="1"/>
  <c r="A57" i="12" s="1"/>
  <c r="A58" i="12" s="1"/>
  <c r="A59" i="12" s="1"/>
  <c r="A60" i="12" s="1"/>
  <c r="A61" i="12" s="1"/>
  <c r="A62" i="12" s="1"/>
  <c r="A63" i="12" s="1"/>
  <c r="A64" i="12" s="1"/>
  <c r="A65" i="12" s="1"/>
  <c r="A66" i="12" s="1"/>
  <c r="A67" i="12" s="1"/>
  <c r="A68" i="12" s="1"/>
  <c r="A69" i="12" s="1"/>
  <c r="A70" i="12" s="1"/>
  <c r="A71" i="12" s="1"/>
  <c r="A72" i="12" s="1"/>
  <c r="A73" i="12" s="1"/>
  <c r="A74" i="12" s="1"/>
  <c r="A75" i="12" s="1"/>
  <c r="A76" i="12" s="1"/>
  <c r="A77" i="12" s="1"/>
  <c r="A78" i="12" s="1"/>
  <c r="A79" i="12" s="1"/>
  <c r="A80" i="12" s="1"/>
  <c r="A81" i="12" s="1"/>
  <c r="A82" i="12" s="1"/>
  <c r="A83" i="12" s="1"/>
  <c r="A84" i="12" s="1"/>
  <c r="A85" i="12" s="1"/>
  <c r="A86" i="12" s="1"/>
  <c r="A87" i="12" s="1"/>
  <c r="A88" i="12" s="1"/>
  <c r="A89" i="12" s="1"/>
  <c r="A90" i="12" s="1"/>
  <c r="A91" i="12" s="1"/>
  <c r="A92" i="12" s="1"/>
  <c r="A93" i="12" s="1"/>
  <c r="A94" i="12" s="1"/>
  <c r="A95" i="12" s="1"/>
  <c r="S71" i="11"/>
  <c r="AA16" i="11"/>
  <c r="AA17" i="11" s="1"/>
  <c r="AA18" i="11" s="1"/>
  <c r="AA19" i="11" s="1"/>
  <c r="AA20" i="11" s="1"/>
  <c r="AA21" i="11" s="1"/>
  <c r="AA22" i="11" s="1"/>
  <c r="N16" i="11"/>
  <c r="N17" i="11" s="1"/>
  <c r="N18" i="11" s="1"/>
  <c r="N19" i="11" s="1"/>
  <c r="N20" i="11" s="1"/>
  <c r="N21" i="11" s="1"/>
  <c r="N22" i="11" s="1"/>
  <c r="N23" i="11" s="1"/>
  <c r="N24" i="11" s="1"/>
  <c r="N25" i="11" s="1"/>
  <c r="N26" i="11" s="1"/>
  <c r="N27" i="11" s="1"/>
  <c r="N28" i="11" s="1"/>
  <c r="N29" i="11" s="1"/>
  <c r="N30" i="11" s="1"/>
  <c r="N31" i="11" s="1"/>
  <c r="N32" i="11" s="1"/>
  <c r="N33" i="11" s="1"/>
  <c r="N34" i="11" s="1"/>
  <c r="N35" i="11" s="1"/>
  <c r="N36" i="11" s="1"/>
  <c r="N37" i="11" s="1"/>
  <c r="N38" i="11" s="1"/>
  <c r="N39" i="11" s="1"/>
  <c r="N40" i="11" s="1"/>
  <c r="N41" i="11" s="1"/>
  <c r="N42" i="11" s="1"/>
  <c r="N43" i="11" s="1"/>
  <c r="N44" i="11" s="1"/>
  <c r="N45" i="11" s="1"/>
  <c r="N46" i="11" s="1"/>
  <c r="N47" i="11" s="1"/>
  <c r="N48" i="11" s="1"/>
  <c r="N49" i="11" s="1"/>
  <c r="N50" i="11" s="1"/>
  <c r="N51" i="11" s="1"/>
  <c r="N52" i="11" s="1"/>
  <c r="N53" i="11" s="1"/>
  <c r="N54" i="11" s="1"/>
  <c r="N55" i="11" s="1"/>
  <c r="N56" i="11" s="1"/>
  <c r="N57" i="11" s="1"/>
  <c r="N58" i="11" s="1"/>
  <c r="N59" i="11" s="1"/>
  <c r="N60" i="11" s="1"/>
  <c r="N61" i="11" s="1"/>
  <c r="N62" i="11" s="1"/>
  <c r="N63" i="11" s="1"/>
  <c r="N64" i="11" s="1"/>
  <c r="N65" i="11" s="1"/>
  <c r="N66" i="11" s="1"/>
  <c r="N67" i="11" s="1"/>
  <c r="N68" i="11" s="1"/>
  <c r="N69" i="11" s="1"/>
  <c r="N70" i="11" s="1"/>
  <c r="N71" i="11" s="1"/>
  <c r="N72" i="11" s="1"/>
  <c r="N73" i="11" s="1"/>
  <c r="A16" i="11"/>
  <c r="A17" i="11" s="1"/>
  <c r="A18" i="11" s="1"/>
  <c r="A19" i="11" s="1"/>
  <c r="A20" i="11" s="1"/>
  <c r="A21" i="11" s="1"/>
  <c r="A22" i="11" s="1"/>
  <c r="A23" i="11" s="1"/>
  <c r="A24" i="11" s="1"/>
  <c r="A25" i="11" s="1"/>
  <c r="A26" i="11" s="1"/>
  <c r="A27" i="11" s="1"/>
  <c r="A28" i="11" s="1"/>
  <c r="A29" i="11" s="1"/>
  <c r="A30" i="11" s="1"/>
  <c r="A31" i="11" s="1"/>
  <c r="A32" i="11" s="1"/>
  <c r="A33" i="11" s="1"/>
  <c r="A34" i="11" s="1"/>
  <c r="A35" i="11" s="1"/>
  <c r="A36" i="11" s="1"/>
  <c r="A37" i="11" s="1"/>
  <c r="A38" i="11" s="1"/>
  <c r="A39" i="11" s="1"/>
  <c r="A40" i="11" s="1"/>
  <c r="A41" i="11" s="1"/>
  <c r="A42" i="11" s="1"/>
  <c r="A43" i="11" s="1"/>
  <c r="A44" i="11" s="1"/>
  <c r="A45" i="11" s="1"/>
  <c r="A46" i="11" s="1"/>
  <c r="A47" i="11" s="1"/>
  <c r="A48" i="11" s="1"/>
  <c r="A49" i="11" s="1"/>
  <c r="A50" i="11" s="1"/>
  <c r="A51" i="11" s="1"/>
  <c r="A52" i="11" s="1"/>
  <c r="A53" i="11" s="1"/>
  <c r="A54" i="11" s="1"/>
  <c r="A55" i="11" s="1"/>
  <c r="A56" i="11" s="1"/>
  <c r="A57" i="11" s="1"/>
  <c r="A58" i="11" s="1"/>
  <c r="A59" i="11" s="1"/>
  <c r="A60" i="11" s="1"/>
  <c r="B17" i="10"/>
  <c r="B18" i="10" s="1"/>
  <c r="B19" i="10" s="1"/>
  <c r="B20" i="10" s="1"/>
  <c r="B21" i="10" s="1"/>
  <c r="B22" i="10" s="1"/>
  <c r="B23" i="10" s="1"/>
  <c r="B24" i="10" s="1"/>
  <c r="B25" i="10" s="1"/>
  <c r="B26" i="10" s="1"/>
  <c r="B27" i="10" s="1"/>
  <c r="B28" i="10" s="1"/>
  <c r="B29" i="10" s="1"/>
  <c r="B30" i="10" s="1"/>
  <c r="B31" i="10" s="1"/>
  <c r="T28" i="9"/>
  <c r="A17" i="9"/>
  <c r="A18" i="9" s="1"/>
  <c r="A19" i="9" s="1"/>
  <c r="A20" i="9" s="1"/>
  <c r="A21" i="9" s="1"/>
  <c r="A22" i="9" s="1"/>
  <c r="A23" i="9" s="1"/>
  <c r="A24" i="9" s="1"/>
  <c r="A25" i="9" s="1"/>
  <c r="A26" i="9" s="1"/>
  <c r="A27" i="9" s="1"/>
  <c r="A28" i="9" s="1"/>
  <c r="A29" i="9" s="1"/>
  <c r="A30" i="9" s="1"/>
  <c r="A31" i="9" s="1"/>
  <c r="A32" i="9" s="1"/>
  <c r="A33" i="9" s="1"/>
  <c r="A34" i="9" s="1"/>
  <c r="AC16" i="9"/>
  <c r="AC17" i="9" s="1"/>
  <c r="AC18" i="9" s="1"/>
  <c r="AC19" i="9" s="1"/>
  <c r="AC20" i="9" s="1"/>
  <c r="AC21" i="9" s="1"/>
  <c r="AC22" i="9" s="1"/>
  <c r="AC23" i="9" s="1"/>
  <c r="AC24" i="9" s="1"/>
  <c r="AC25" i="9" s="1"/>
  <c r="AC26" i="9" s="1"/>
  <c r="AC27" i="9" s="1"/>
  <c r="AC28" i="9" s="1"/>
  <c r="AC29" i="9" s="1"/>
  <c r="AC30" i="9" s="1"/>
  <c r="AC31" i="9" s="1"/>
  <c r="AC32" i="9" s="1"/>
  <c r="AC33" i="9" s="1"/>
  <c r="AC34" i="9" s="1"/>
  <c r="AC35" i="9" s="1"/>
  <c r="O15" i="9"/>
  <c r="O16" i="9" s="1"/>
  <c r="O17" i="9" s="1"/>
  <c r="O18" i="9" s="1"/>
  <c r="O19" i="9" s="1"/>
  <c r="O20" i="9" s="1"/>
  <c r="O21" i="9" s="1"/>
  <c r="O22" i="9" s="1"/>
  <c r="O23" i="9" s="1"/>
  <c r="O24" i="9" s="1"/>
  <c r="O25" i="9" s="1"/>
  <c r="O26" i="9" s="1"/>
  <c r="O27" i="9" s="1"/>
  <c r="O28" i="9" s="1"/>
  <c r="O29" i="9" s="1"/>
  <c r="O30" i="9" s="1"/>
  <c r="O31" i="9" s="1"/>
  <c r="O32" i="9" s="1"/>
  <c r="O33" i="9" s="1"/>
  <c r="O34" i="9" s="1"/>
  <c r="O35" i="9" s="1"/>
  <c r="AV82" i="8"/>
  <c r="AV58" i="8"/>
  <c r="AV48" i="8"/>
  <c r="AV46" i="8"/>
  <c r="AV44" i="8"/>
  <c r="F40" i="8"/>
  <c r="F29" i="8"/>
  <c r="AN28" i="8"/>
  <c r="AN20" i="8"/>
  <c r="AB17" i="8"/>
  <c r="AB18" i="8" s="1"/>
  <c r="AB19" i="8" s="1"/>
  <c r="AB20" i="8" s="1"/>
  <c r="AB21" i="8" s="1"/>
  <c r="AB22" i="8" s="1"/>
  <c r="AB23" i="8" s="1"/>
  <c r="AB24" i="8" s="1"/>
  <c r="AB25" i="8" s="1"/>
  <c r="AB26" i="8" s="1"/>
  <c r="AB27" i="8" s="1"/>
  <c r="AB28" i="8" s="1"/>
  <c r="AB29" i="8" s="1"/>
  <c r="AB30" i="8" s="1"/>
  <c r="AB31" i="8" s="1"/>
  <c r="AB32" i="8" s="1"/>
  <c r="AB33" i="8" s="1"/>
  <c r="AB34" i="8" s="1"/>
  <c r="AB35" i="8" s="1"/>
  <c r="AB36" i="8" s="1"/>
  <c r="AB37" i="8" s="1"/>
  <c r="AB38" i="8" s="1"/>
  <c r="AB39" i="8" s="1"/>
  <c r="AB40" i="8" s="1"/>
  <c r="AB41" i="8" s="1"/>
  <c r="AB42" i="8" s="1"/>
  <c r="N17" i="8"/>
  <c r="N18" i="8" s="1"/>
  <c r="N19" i="8" s="1"/>
  <c r="N20" i="8" s="1"/>
  <c r="N21" i="8" s="1"/>
  <c r="N22" i="8" s="1"/>
  <c r="N23" i="8" s="1"/>
  <c r="N24" i="8" s="1"/>
  <c r="N25" i="8" s="1"/>
  <c r="N26" i="8" s="1"/>
  <c r="N27" i="8" s="1"/>
  <c r="N28" i="8" s="1"/>
  <c r="N29" i="8" s="1"/>
  <c r="N30" i="8" s="1"/>
  <c r="N31" i="8" s="1"/>
  <c r="N32" i="8" s="1"/>
  <c r="N33" i="8" s="1"/>
  <c r="N34" i="8" s="1"/>
  <c r="N35" i="8" s="1"/>
  <c r="N36" i="8" s="1"/>
  <c r="N37" i="8" s="1"/>
  <c r="N38" i="8" s="1"/>
  <c r="N39" i="8" s="1"/>
  <c r="N40" i="8" s="1"/>
  <c r="N41" i="8" s="1"/>
  <c r="N42" i="8" s="1"/>
  <c r="N43" i="8" s="1"/>
  <c r="N44" i="8" s="1"/>
  <c r="N45" i="8" s="1"/>
  <c r="N46" i="8" s="1"/>
  <c r="N47" i="8" s="1"/>
  <c r="N48" i="8" s="1"/>
  <c r="N49" i="8" s="1"/>
  <c r="N50" i="8" s="1"/>
  <c r="N51" i="8" s="1"/>
  <c r="N52" i="8" s="1"/>
  <c r="N53" i="8" s="1"/>
  <c r="N54" i="8" s="1"/>
  <c r="N55" i="8" s="1"/>
  <c r="N56" i="8" s="1"/>
  <c r="N57" i="8" s="1"/>
  <c r="N58" i="8" s="1"/>
  <c r="N59" i="8" s="1"/>
  <c r="N60" i="8" s="1"/>
  <c r="N61" i="8" s="1"/>
  <c r="N62" i="8" s="1"/>
  <c r="N63" i="8" s="1"/>
  <c r="N64" i="8" s="1"/>
  <c r="N65" i="8" s="1"/>
  <c r="N66" i="8" s="1"/>
  <c r="N67" i="8" s="1"/>
  <c r="A17" i="8"/>
  <c r="A18" i="8" s="1"/>
  <c r="A19" i="8" s="1"/>
  <c r="A20" i="8" s="1"/>
  <c r="A21" i="8" s="1"/>
  <c r="A22" i="8" s="1"/>
  <c r="A23" i="8" s="1"/>
  <c r="A24" i="8" s="1"/>
  <c r="A25" i="8" s="1"/>
  <c r="A26" i="8" s="1"/>
  <c r="A27" i="8" s="1"/>
  <c r="A28" i="8" s="1"/>
  <c r="A29" i="8" s="1"/>
  <c r="A30" i="8" s="1"/>
  <c r="A31" i="8" s="1"/>
  <c r="A32" i="8" s="1"/>
  <c r="A33" i="8" s="1"/>
  <c r="A34" i="8" s="1"/>
  <c r="A35" i="8" s="1"/>
  <c r="A36" i="8" s="1"/>
  <c r="A37" i="8" s="1"/>
  <c r="A38" i="8" s="1"/>
  <c r="A39" i="8" s="1"/>
  <c r="A40" i="8" s="1"/>
  <c r="A41" i="8" s="1"/>
  <c r="A42" i="8" s="1"/>
  <c r="A43" i="8" s="1"/>
  <c r="A44" i="8" s="1"/>
  <c r="A45" i="8" s="1"/>
  <c r="A46" i="8" s="1"/>
  <c r="A47" i="8" s="1"/>
  <c r="A48" i="8" s="1"/>
  <c r="A49" i="8" s="1"/>
  <c r="AB16" i="8"/>
  <c r="A17" i="7"/>
  <c r="A18" i="7" s="1"/>
  <c r="A19" i="7" s="1"/>
  <c r="A20" i="7" s="1"/>
  <c r="A21" i="7" s="1"/>
  <c r="A16" i="7"/>
  <c r="N18" i="6"/>
  <c r="N20" i="6" s="1"/>
  <c r="N22" i="6" s="1"/>
  <c r="N24" i="6" s="1"/>
  <c r="N26" i="6" s="1"/>
  <c r="N28" i="6" s="1"/>
  <c r="N30" i="6" s="1"/>
  <c r="N32" i="6" s="1"/>
  <c r="N34" i="6" s="1"/>
  <c r="N36" i="6" s="1"/>
  <c r="N38" i="6" s="1"/>
  <c r="N40" i="6" s="1"/>
  <c r="N42" i="6" s="1"/>
  <c r="N44" i="6" s="1"/>
  <c r="BN17" i="6"/>
  <c r="BN18" i="6" s="1"/>
  <c r="BN19" i="6" s="1"/>
  <c r="BN20" i="6" s="1"/>
  <c r="BN21" i="6" s="1"/>
  <c r="BN22" i="6" s="1"/>
  <c r="BN23" i="6" s="1"/>
  <c r="BN24" i="6" s="1"/>
  <c r="BN25" i="6" s="1"/>
  <c r="BN26" i="6" s="1"/>
  <c r="BN27" i="6" s="1"/>
  <c r="BN28" i="6" s="1"/>
  <c r="BN29" i="6" s="1"/>
  <c r="AA17" i="6"/>
  <c r="AA18" i="6" s="1"/>
  <c r="AA19" i="6" s="1"/>
  <c r="AA20" i="6" s="1"/>
  <c r="AA21" i="6" s="1"/>
  <c r="AA22" i="6" s="1"/>
  <c r="AA23" i="6" s="1"/>
  <c r="AA24" i="6" s="1"/>
  <c r="AA25" i="6" s="1"/>
  <c r="AA26" i="6" s="1"/>
  <c r="AA27" i="6" s="1"/>
  <c r="AA28" i="6" s="1"/>
  <c r="AA29" i="6" s="1"/>
  <c r="AA30" i="6" s="1"/>
  <c r="AA31" i="6" s="1"/>
  <c r="AA32" i="6" s="1"/>
  <c r="AA33" i="6" s="1"/>
  <c r="AA34" i="6" s="1"/>
  <c r="AA35" i="6" s="1"/>
  <c r="AA36" i="6" s="1"/>
  <c r="AA37" i="6" s="1"/>
  <c r="AA38" i="6" s="1"/>
  <c r="N17" i="6"/>
  <c r="N19" i="6" s="1"/>
  <c r="N21" i="6" s="1"/>
  <c r="N23" i="6" s="1"/>
  <c r="N25" i="6" s="1"/>
  <c r="N27" i="6" s="1"/>
  <c r="N29" i="6" s="1"/>
  <c r="N31" i="6" s="1"/>
  <c r="N33" i="6" s="1"/>
  <c r="N35" i="6" s="1"/>
  <c r="N37" i="6" s="1"/>
  <c r="N39" i="6" s="1"/>
  <c r="N41" i="6" s="1"/>
  <c r="N43" i="6" s="1"/>
  <c r="N45" i="6" s="1"/>
  <c r="BN16" i="6"/>
  <c r="BA16" i="6"/>
  <c r="BA17" i="6" s="1"/>
  <c r="BA18" i="6" s="1"/>
  <c r="BA19" i="6" s="1"/>
  <c r="BA20" i="6" s="1"/>
  <c r="BA21" i="6" s="1"/>
  <c r="BA22" i="6" s="1"/>
  <c r="BA23" i="6" s="1"/>
  <c r="BA24" i="6" s="1"/>
  <c r="BA25" i="6" s="1"/>
  <c r="BA26" i="6" s="1"/>
  <c r="BA27" i="6" s="1"/>
  <c r="BA28" i="6" s="1"/>
  <c r="BA29" i="6" s="1"/>
  <c r="BA30" i="6" s="1"/>
  <c r="BA31" i="6" s="1"/>
  <c r="BA32" i="6" s="1"/>
  <c r="BA33" i="6" s="1"/>
  <c r="BA34" i="6" s="1"/>
  <c r="BA35" i="6" s="1"/>
  <c r="BA36" i="6" s="1"/>
  <c r="BA37" i="6" s="1"/>
  <c r="BA38" i="6" s="1"/>
  <c r="BA39" i="6" s="1"/>
  <c r="BA40" i="6" s="1"/>
  <c r="BA41" i="6" s="1"/>
  <c r="BA42" i="6" s="1"/>
  <c r="BA43" i="6" s="1"/>
  <c r="BA44" i="6" s="1"/>
  <c r="BA45" i="6" s="1"/>
  <c r="BA46" i="6" s="1"/>
  <c r="BA47" i="6" s="1"/>
  <c r="BA48" i="6" s="1"/>
  <c r="BA49" i="6" s="1"/>
  <c r="BA50" i="6" s="1"/>
  <c r="BA51" i="6" s="1"/>
  <c r="BA52" i="6" s="1"/>
  <c r="BA53" i="6" s="1"/>
  <c r="BA54" i="6" s="1"/>
  <c r="AN16" i="6"/>
  <c r="AN17" i="6" s="1"/>
  <c r="AN18" i="6" s="1"/>
  <c r="AN19" i="6" s="1"/>
  <c r="AN20" i="6" s="1"/>
  <c r="AN21" i="6" s="1"/>
  <c r="AN22" i="6" s="1"/>
  <c r="AN23" i="6" s="1"/>
  <c r="AN24" i="6" s="1"/>
  <c r="AN25" i="6" s="1"/>
  <c r="AN26" i="6" s="1"/>
  <c r="AN27" i="6" s="1"/>
  <c r="AN28" i="6" s="1"/>
  <c r="AN29" i="6" s="1"/>
  <c r="AN30" i="6" s="1"/>
  <c r="AN31" i="6" s="1"/>
  <c r="AN32" i="6" s="1"/>
  <c r="AN33" i="6" s="1"/>
  <c r="AN34" i="6" s="1"/>
  <c r="AN35" i="6" s="1"/>
  <c r="AN36" i="6" s="1"/>
  <c r="AN37" i="6" s="1"/>
  <c r="AN38" i="6" s="1"/>
  <c r="AN39" i="6" s="1"/>
  <c r="AN40" i="6" s="1"/>
  <c r="AN41" i="6" s="1"/>
  <c r="AN42" i="6" s="1"/>
  <c r="AN43" i="6" s="1"/>
  <c r="AN44" i="6" s="1"/>
  <c r="AN45" i="6" s="1"/>
  <c r="AN46" i="6" s="1"/>
  <c r="AN47" i="6" s="1"/>
  <c r="AN48" i="6" s="1"/>
  <c r="AN49" i="6" s="1"/>
  <c r="AN50" i="6" s="1"/>
  <c r="AN51" i="6" s="1"/>
  <c r="AN52" i="6" s="1"/>
  <c r="AN53" i="6" s="1"/>
  <c r="AN54" i="6" s="1"/>
  <c r="AN55" i="6" s="1"/>
  <c r="AN56" i="6" s="1"/>
  <c r="AN57" i="6" s="1"/>
  <c r="AN58" i="6" s="1"/>
  <c r="AN59" i="6" s="1"/>
  <c r="AN60" i="6" s="1"/>
  <c r="AN61" i="6" s="1"/>
  <c r="AA16" i="6"/>
  <c r="F16" i="6"/>
  <c r="A16" i="6"/>
  <c r="A17" i="6" s="1"/>
  <c r="F15" i="6"/>
  <c r="A16" i="5"/>
  <c r="A17" i="5" s="1"/>
  <c r="A18" i="5" s="1"/>
  <c r="A19" i="5" s="1"/>
  <c r="A20" i="5" s="1"/>
  <c r="A21" i="5" s="1"/>
  <c r="A22" i="5" s="1"/>
  <c r="A23" i="5" s="1"/>
  <c r="A24" i="5" s="1"/>
  <c r="A25" i="5" s="1"/>
  <c r="A26" i="5" s="1"/>
  <c r="A27" i="5" s="1"/>
  <c r="A28" i="5" s="1"/>
  <c r="A29" i="5" s="1"/>
  <c r="A30" i="5" s="1"/>
  <c r="A31" i="5" s="1"/>
  <c r="BA16" i="4"/>
  <c r="BA17" i="4" s="1"/>
  <c r="BA18" i="4" s="1"/>
  <c r="AN16" i="4"/>
  <c r="AN17" i="4" s="1"/>
  <c r="AN18" i="4" s="1"/>
  <c r="AN19" i="4" s="1"/>
  <c r="AN20" i="4" s="1"/>
  <c r="AN21" i="4" s="1"/>
  <c r="AN22" i="4" s="1"/>
  <c r="AN23" i="4" s="1"/>
  <c r="AN24" i="4" s="1"/>
  <c r="AN25" i="4" s="1"/>
  <c r="AN26" i="4" s="1"/>
  <c r="AN27" i="4" s="1"/>
  <c r="AN28" i="4" s="1"/>
  <c r="AN29" i="4" s="1"/>
  <c r="AN30" i="4" s="1"/>
  <c r="AN31" i="4" s="1"/>
  <c r="AN32" i="4" s="1"/>
  <c r="AN33" i="4" s="1"/>
  <c r="AN34" i="4" s="1"/>
  <c r="AN35" i="4" s="1"/>
  <c r="AN36" i="4" s="1"/>
  <c r="AN37" i="4" s="1"/>
  <c r="AA16" i="4"/>
  <c r="AA17" i="4" s="1"/>
  <c r="AA18" i="4" s="1"/>
  <c r="AA19" i="4" s="1"/>
  <c r="AA20" i="4" s="1"/>
  <c r="AA21" i="4" s="1"/>
  <c r="AA22" i="4" s="1"/>
  <c r="AA23" i="4" s="1"/>
  <c r="AA24" i="4" s="1"/>
  <c r="AA25" i="4" s="1"/>
  <c r="AA26" i="4" s="1"/>
  <c r="AA27" i="4" s="1"/>
  <c r="AA28" i="4" s="1"/>
  <c r="AA29" i="4" s="1"/>
  <c r="AA30" i="4" s="1"/>
  <c r="AA31" i="4" s="1"/>
  <c r="AA32" i="4" s="1"/>
  <c r="AA33" i="4" s="1"/>
  <c r="AA34" i="4" s="1"/>
  <c r="AA35" i="4" s="1"/>
  <c r="AA36" i="4" s="1"/>
  <c r="AA37" i="4" s="1"/>
  <c r="AA38" i="4" s="1"/>
  <c r="AA39" i="4" s="1"/>
  <c r="AA40" i="4" s="1"/>
  <c r="AA41" i="4" s="1"/>
  <c r="AA42" i="4" s="1"/>
  <c r="AA43" i="4" s="1"/>
  <c r="AA44" i="4" s="1"/>
  <c r="AA45" i="4" s="1"/>
  <c r="AA46" i="4" s="1"/>
  <c r="AA47" i="4" s="1"/>
  <c r="AA48" i="4" s="1"/>
  <c r="AA49" i="4" s="1"/>
  <c r="AA50" i="4" s="1"/>
  <c r="AA51" i="4" s="1"/>
  <c r="AA52" i="4" s="1"/>
  <c r="N16" i="4"/>
  <c r="N17" i="4" s="1"/>
  <c r="N18" i="4" s="1"/>
  <c r="N19" i="4" s="1"/>
  <c r="N20" i="4" s="1"/>
  <c r="N21" i="4" s="1"/>
  <c r="N22" i="4" s="1"/>
  <c r="N23" i="4" s="1"/>
  <c r="N24" i="4" s="1"/>
  <c r="N25" i="4" s="1"/>
  <c r="N26" i="4" s="1"/>
  <c r="N27" i="4" s="1"/>
  <c r="N28" i="4" s="1"/>
  <c r="N29" i="4" s="1"/>
  <c r="N30" i="4" s="1"/>
  <c r="N31" i="4" s="1"/>
  <c r="N32" i="4" s="1"/>
  <c r="N33" i="4" s="1"/>
  <c r="N34" i="4" s="1"/>
  <c r="N35" i="4" s="1"/>
  <c r="N36" i="4" s="1"/>
  <c r="N37" i="4" s="1"/>
  <c r="N38" i="4" s="1"/>
  <c r="N39" i="4" s="1"/>
  <c r="N40" i="4" s="1"/>
  <c r="N41" i="4" s="1"/>
  <c r="N42" i="4" s="1"/>
  <c r="N43" i="4" s="1"/>
  <c r="N44" i="4" s="1"/>
  <c r="N45" i="4" s="1"/>
  <c r="N46" i="4" s="1"/>
  <c r="N47" i="4" s="1"/>
  <c r="N48" i="4" s="1"/>
  <c r="N49" i="4" s="1"/>
  <c r="N50" i="4" s="1"/>
  <c r="N51" i="4" s="1"/>
  <c r="N52" i="4" s="1"/>
  <c r="N53" i="4" s="1"/>
  <c r="N54" i="4" s="1"/>
  <c r="N55" i="4" s="1"/>
  <c r="N56" i="4" s="1"/>
  <c r="N57" i="4" s="1"/>
  <c r="N58" i="4" s="1"/>
  <c r="N59" i="4" s="1"/>
  <c r="N60" i="4" s="1"/>
  <c r="N61" i="4" s="1"/>
  <c r="N62" i="4" s="1"/>
  <c r="A17" i="2"/>
  <c r="A18" i="2" s="1"/>
  <c r="A16" i="2"/>
  <c r="C345" i="22" l="1"/>
  <c r="C346" i="22" s="1"/>
  <c r="C347" i="22" s="1"/>
  <c r="C348" i="22" s="1"/>
  <c r="C349" i="22" s="1"/>
  <c r="C350" i="22" s="1"/>
  <c r="C351" i="22" s="1"/>
  <c r="C352" i="22" s="1"/>
  <c r="C353" i="22" s="1"/>
  <c r="C354" i="22" s="1"/>
  <c r="C355" i="22" s="1"/>
  <c r="C356" i="22" s="1"/>
  <c r="C357" i="22" s="1"/>
  <c r="C358" i="22" s="1"/>
  <c r="C359" i="22" s="1"/>
  <c r="C360" i="22" s="1"/>
  <c r="C361" i="22" s="1"/>
  <c r="C362" i="22" s="1"/>
  <c r="C363" i="22" s="1"/>
  <c r="C364" i="22" s="1"/>
  <c r="C365" i="22" s="1"/>
  <c r="C366" i="22" s="1"/>
  <c r="C367" i="22" s="1"/>
  <c r="C368" i="22" s="1"/>
  <c r="C369" i="22" s="1"/>
  <c r="C370" i="22" s="1"/>
  <c r="C371" i="22" s="1"/>
  <c r="C372" i="22" s="1"/>
  <c r="C373" i="22" s="1"/>
  <c r="F61" i="14"/>
  <c r="T65" i="13"/>
  <c r="R70" i="13"/>
  <c r="BG80" i="14"/>
  <c r="S65" i="13"/>
  <c r="S70" i="13" s="1"/>
  <c r="U65" i="13"/>
  <c r="U70" i="13" s="1"/>
  <c r="T70" i="13"/>
</calcChain>
</file>

<file path=xl/sharedStrings.xml><?xml version="1.0" encoding="utf-8"?>
<sst xmlns="http://schemas.openxmlformats.org/spreadsheetml/2006/main" count="16300" uniqueCount="1286">
  <si>
    <t xml:space="preserve">              </t>
  </si>
  <si>
    <t xml:space="preserve"> HYDROSTATIC TEST REPORT</t>
  </si>
  <si>
    <t>Project :-  Rural Water Supply ProjectsUnder JJM , Pratappgarh Uttar Pradesh</t>
  </si>
  <si>
    <t xml:space="preserve">Client :-  State Water &amp; Sanitation Mission </t>
  </si>
  <si>
    <t>TPI:-  Medhaj techno concept pvt. Ltd.</t>
  </si>
  <si>
    <t>Contractor : - Power Mech Project Ltd.</t>
  </si>
  <si>
    <t>Water Line : Distribution network</t>
  </si>
  <si>
    <t>Length (Mtr)</t>
  </si>
  <si>
    <t>Material</t>
  </si>
  <si>
    <t>1. 63mm</t>
  </si>
  <si>
    <t>2. 75mm</t>
  </si>
  <si>
    <t>3. 90mm</t>
  </si>
  <si>
    <t>4. 110mm</t>
  </si>
  <si>
    <t>5. 125mm</t>
  </si>
  <si>
    <t>6. 140mm</t>
  </si>
  <si>
    <t>7. 160mm</t>
  </si>
  <si>
    <t>8. 180mm</t>
  </si>
  <si>
    <t>9. 200mm</t>
  </si>
  <si>
    <t>Pressure Gauge Calibration checked (Yes / No)</t>
  </si>
  <si>
    <r>
      <rPr>
        <b/>
        <sz val="12"/>
        <rFont val="Calibri "/>
        <charset val="134"/>
      </rPr>
      <t>Test Pressure (kg/cm</t>
    </r>
    <r>
      <rPr>
        <b/>
        <vertAlign val="superscript"/>
        <sz val="12"/>
        <rFont val="Calibri "/>
        <charset val="134"/>
      </rPr>
      <t>2</t>
    </r>
    <r>
      <rPr>
        <b/>
        <sz val="12"/>
        <rFont val="Calibri "/>
        <charset val="134"/>
      </rPr>
      <t>) :</t>
    </r>
  </si>
  <si>
    <t>Duration of test:</t>
  </si>
  <si>
    <t>OBSERVATIONS</t>
  </si>
  <si>
    <t>Sl. No</t>
  </si>
  <si>
    <t>Descriptions</t>
  </si>
  <si>
    <t>P. Gauge Reading (Kg/cm2)</t>
  </si>
  <si>
    <t>Start Time</t>
  </si>
  <si>
    <t>End Time</t>
  </si>
  <si>
    <t xml:space="preserve"> Remarks</t>
  </si>
  <si>
    <t>Completion of water filling</t>
  </si>
  <si>
    <t>Test pressure applied</t>
  </si>
  <si>
    <t>Observation</t>
  </si>
  <si>
    <t>Observation releasing time</t>
  </si>
  <si>
    <t>Duration of test in Hrs.</t>
  </si>
  <si>
    <t xml:space="preserve">Test result:                                                  </t>
  </si>
  <si>
    <t xml:space="preserve">Passed:                                 </t>
  </si>
  <si>
    <t>Failed:</t>
  </si>
  <si>
    <t>Comments :</t>
  </si>
  <si>
    <t xml:space="preserve">Power Mech </t>
  </si>
  <si>
    <t>MEDHAJ</t>
  </si>
  <si>
    <t>JAL NIGAM U.P.</t>
  </si>
  <si>
    <t>Name:</t>
  </si>
  <si>
    <t>Designation:</t>
  </si>
  <si>
    <t>Signature:</t>
  </si>
  <si>
    <t>Date:</t>
  </si>
  <si>
    <t>HYDROSTATIC TEST FOR PRESSURE PIPES</t>
  </si>
  <si>
    <t>Project:-</t>
  </si>
  <si>
    <t xml:space="preserve">Rural water supply project Under JJM , Pratapgarh , Utter Pradesh </t>
  </si>
  <si>
    <t xml:space="preserve">                                                                                                                                                                       per the request for Proposal for Division – Prayagraj</t>
  </si>
  <si>
    <t>Client : -</t>
  </si>
  <si>
    <t xml:space="preserve">State Water &amp; Sanitation Mission Govt of Uttar Pradesh </t>
  </si>
  <si>
    <t>TPI :-</t>
  </si>
  <si>
    <t>Medhaj Techno Concept Pvt . Ltd.</t>
  </si>
  <si>
    <t>Contractor :-</t>
  </si>
  <si>
    <t xml:space="preserve">  Power Mech Project Ltd.</t>
  </si>
  <si>
    <t>Block: MANGRAURA  GP: SAKRA</t>
  </si>
  <si>
    <t>Dail Log Ref. ………………….</t>
  </si>
  <si>
    <t>Tested as per CPHEEO ……………………..</t>
  </si>
  <si>
    <t>Date;30-12-2022</t>
  </si>
  <si>
    <t>Date of Testing  ………………………………….</t>
  </si>
  <si>
    <t>SL. No.</t>
  </si>
  <si>
    <t>Material of Pipe</t>
  </si>
  <si>
    <t>ID (MM)</t>
  </si>
  <si>
    <t>Start Node</t>
  </si>
  <si>
    <t>End Node</t>
  </si>
  <si>
    <t>Length</t>
  </si>
  <si>
    <t>Applied test pressure (kg/cm'2)</t>
  </si>
  <si>
    <t>Time in Hrs</t>
  </si>
  <si>
    <t>Remark</t>
  </si>
  <si>
    <t>Pressure rising time  (Hrs)</t>
  </si>
  <si>
    <t>Pressure  Released time (Hrs)</t>
  </si>
  <si>
    <t>Total Duration Hrs</t>
  </si>
  <si>
    <t>HDPE</t>
  </si>
  <si>
    <t>J29</t>
  </si>
  <si>
    <t>J227</t>
  </si>
  <si>
    <t>512MTR</t>
  </si>
  <si>
    <t>5KG/CM"2</t>
  </si>
  <si>
    <t>(30-12-2022)05:30PM</t>
  </si>
  <si>
    <t>(30-12-2022)09:30PM</t>
  </si>
  <si>
    <t>4HRS</t>
  </si>
  <si>
    <t>J228</t>
  </si>
  <si>
    <t>260MTR</t>
  </si>
  <si>
    <t>J188</t>
  </si>
  <si>
    <t>611MTR</t>
  </si>
  <si>
    <t>J118</t>
  </si>
  <si>
    <t>J77</t>
  </si>
  <si>
    <t>57MTR</t>
  </si>
  <si>
    <t xml:space="preserve">POWER MECH </t>
  </si>
  <si>
    <t xml:space="preserve">MEDHAJ </t>
  </si>
  <si>
    <t>k.ANWESH KUMAR REDDY</t>
  </si>
  <si>
    <t xml:space="preserve"> </t>
  </si>
  <si>
    <t>Block: MANGRAURA  GP: ATTARSAND AND PARASPUR</t>
  </si>
  <si>
    <t>Date 7-2-2023</t>
  </si>
  <si>
    <t>J751</t>
  </si>
  <si>
    <t>J307</t>
  </si>
  <si>
    <t>900MTR</t>
  </si>
  <si>
    <t>6(kg/cm'2)</t>
  </si>
  <si>
    <t>06-02-2023(3:30PM)</t>
  </si>
  <si>
    <t>06-02-2023(07:00PM)</t>
  </si>
  <si>
    <t>03:30min</t>
  </si>
  <si>
    <t>SHASHIRANJAN</t>
  </si>
  <si>
    <t>JUNIOR ENGINEER</t>
  </si>
  <si>
    <t>Block: MANGRAURA, G.P:ATTARSAND AND PARASPUR</t>
  </si>
  <si>
    <t>Date 28-02-2023</t>
  </si>
  <si>
    <t xml:space="preserve">Date </t>
  </si>
  <si>
    <t>j-75</t>
  </si>
  <si>
    <t>j-6</t>
  </si>
  <si>
    <t>5.5KG/CM2</t>
  </si>
  <si>
    <t>27-2-2023(03:09pm)</t>
  </si>
  <si>
    <t>27-02-2023(06:45pm)</t>
  </si>
  <si>
    <t>03:36min</t>
  </si>
  <si>
    <t>j-41</t>
  </si>
  <si>
    <t>j-14</t>
  </si>
  <si>
    <t>5.5kg/cm2</t>
  </si>
  <si>
    <t>04:00hrs</t>
  </si>
  <si>
    <t>NO</t>
  </si>
  <si>
    <t>J75</t>
  </si>
  <si>
    <t>J99</t>
  </si>
  <si>
    <t>j456</t>
  </si>
  <si>
    <t>j655</t>
  </si>
  <si>
    <t>J158</t>
  </si>
  <si>
    <t>J170</t>
  </si>
  <si>
    <t>J-14</t>
  </si>
  <si>
    <t>J4</t>
  </si>
  <si>
    <t>J115</t>
  </si>
  <si>
    <t>j723</t>
  </si>
  <si>
    <t>5.5kg/cm3</t>
  </si>
  <si>
    <t>J252</t>
  </si>
  <si>
    <t>J14</t>
  </si>
  <si>
    <t>J21</t>
  </si>
  <si>
    <t>J20</t>
  </si>
  <si>
    <t>j748</t>
  </si>
  <si>
    <t>5.5kg/cm4</t>
  </si>
  <si>
    <t>J753</t>
  </si>
  <si>
    <t>K.ANWESH KUMAR REDDY</t>
  </si>
  <si>
    <t>J18</t>
  </si>
  <si>
    <t>J57</t>
  </si>
  <si>
    <t>j0</t>
  </si>
  <si>
    <t>5.5kg/cm5</t>
  </si>
  <si>
    <t>J735</t>
  </si>
  <si>
    <t>J708</t>
  </si>
  <si>
    <t>SR.ENGINEER</t>
  </si>
  <si>
    <t>J48</t>
  </si>
  <si>
    <t>J59</t>
  </si>
  <si>
    <t>j373</t>
  </si>
  <si>
    <t>5.5kg/cm6</t>
  </si>
  <si>
    <t>J32</t>
  </si>
  <si>
    <t>j474</t>
  </si>
  <si>
    <t>5.5kg/cm7</t>
  </si>
  <si>
    <t>J72</t>
  </si>
  <si>
    <t>J28</t>
  </si>
  <si>
    <t>J13</t>
  </si>
  <si>
    <t>j505</t>
  </si>
  <si>
    <t>5.5kg/cm8</t>
  </si>
  <si>
    <t>J22</t>
  </si>
  <si>
    <t>J149</t>
  </si>
  <si>
    <t>J176</t>
  </si>
  <si>
    <t>j499</t>
  </si>
  <si>
    <t>5.5kg/cm9</t>
  </si>
  <si>
    <t>J214</t>
  </si>
  <si>
    <t>j731</t>
  </si>
  <si>
    <t>5.5kg/cm10</t>
  </si>
  <si>
    <t>J456</t>
  </si>
  <si>
    <t>j575</t>
  </si>
  <si>
    <t>5.5kg/cm11</t>
  </si>
  <si>
    <t>J195</t>
  </si>
  <si>
    <t>j471</t>
  </si>
  <si>
    <t>5.5kg/cm12</t>
  </si>
  <si>
    <t>J100</t>
  </si>
  <si>
    <t>J101</t>
  </si>
  <si>
    <t>j384</t>
  </si>
  <si>
    <t>5.5kg/cm13</t>
  </si>
  <si>
    <t>J112</t>
  </si>
  <si>
    <t>J265</t>
  </si>
  <si>
    <t>j604</t>
  </si>
  <si>
    <t>5.5kg/cm14</t>
  </si>
  <si>
    <t>J111</t>
  </si>
  <si>
    <t>J27</t>
  </si>
  <si>
    <t>j700</t>
  </si>
  <si>
    <t>5.5kg/cm15</t>
  </si>
  <si>
    <t>J152</t>
  </si>
  <si>
    <t>J52</t>
  </si>
  <si>
    <t>j301</t>
  </si>
  <si>
    <t>5.5kg/cm16</t>
  </si>
  <si>
    <t>J122</t>
  </si>
  <si>
    <t>J534</t>
  </si>
  <si>
    <t>j694</t>
  </si>
  <si>
    <t>5.5kg/cm17</t>
  </si>
  <si>
    <t>J86</t>
  </si>
  <si>
    <t>J137</t>
  </si>
  <si>
    <t>5.5kg/cm18</t>
  </si>
  <si>
    <t>J81</t>
  </si>
  <si>
    <t>J145</t>
  </si>
  <si>
    <t>j747</t>
  </si>
  <si>
    <t>5.5kg/cm19</t>
  </si>
  <si>
    <t>J62</t>
  </si>
  <si>
    <t>J79</t>
  </si>
  <si>
    <t>j634</t>
  </si>
  <si>
    <t>5.5kg/cm20</t>
  </si>
  <si>
    <t>J67</t>
  </si>
  <si>
    <t>J47</t>
  </si>
  <si>
    <t>j399</t>
  </si>
  <si>
    <t>5.5kg/cm21</t>
  </si>
  <si>
    <t>J63</t>
  </si>
  <si>
    <t>J49</t>
  </si>
  <si>
    <t>5.5kg/cm22</t>
  </si>
  <si>
    <t>J33</t>
  </si>
  <si>
    <t>J93</t>
  </si>
  <si>
    <t>j725</t>
  </si>
  <si>
    <t>j340</t>
  </si>
  <si>
    <t>5.5kg/cm23</t>
  </si>
  <si>
    <t>J85</t>
  </si>
  <si>
    <t>j488</t>
  </si>
  <si>
    <t>5.5kg/cm24</t>
  </si>
  <si>
    <t>J31</t>
  </si>
  <si>
    <t>J89</t>
  </si>
  <si>
    <t>J34</t>
  </si>
  <si>
    <t>J139</t>
  </si>
  <si>
    <t>J35</t>
  </si>
  <si>
    <t>J82</t>
  </si>
  <si>
    <t>J102</t>
  </si>
  <si>
    <t>J39</t>
  </si>
  <si>
    <t>J65</t>
  </si>
  <si>
    <t>J179</t>
  </si>
  <si>
    <t>J114</t>
  </si>
  <si>
    <t>J66</t>
  </si>
  <si>
    <t>J174</t>
  </si>
  <si>
    <t>J10</t>
  </si>
  <si>
    <t>J117</t>
  </si>
  <si>
    <t>J202</t>
  </si>
  <si>
    <t>J92</t>
  </si>
  <si>
    <t>J64</t>
  </si>
  <si>
    <t>J58</t>
  </si>
  <si>
    <t>J241</t>
  </si>
  <si>
    <t>J80</t>
  </si>
  <si>
    <t>J7</t>
  </si>
  <si>
    <t>J97</t>
  </si>
  <si>
    <t>J17</t>
  </si>
  <si>
    <t>J76</t>
  </si>
  <si>
    <t>J16</t>
  </si>
  <si>
    <t>J274</t>
  </si>
  <si>
    <t>J378</t>
  </si>
  <si>
    <t>J11</t>
  </si>
  <si>
    <t>J2</t>
  </si>
  <si>
    <t>J23</t>
  </si>
  <si>
    <t>J53</t>
  </si>
  <si>
    <t>J42</t>
  </si>
  <si>
    <t>J70</t>
  </si>
  <si>
    <t>J36</t>
  </si>
  <si>
    <t>J19</t>
  </si>
  <si>
    <t>Block: MANGRAURA, G.P-ATTARSAND AND PARASPUR</t>
  </si>
  <si>
    <t>Date11-2-2023</t>
  </si>
  <si>
    <t>Appliede test pressure (kg/cm'2)</t>
  </si>
  <si>
    <t>J164</t>
  </si>
  <si>
    <t>J430</t>
  </si>
  <si>
    <t>11-02-2023(3:10)pm</t>
  </si>
  <si>
    <t>11-02-2023(6:10)pm</t>
  </si>
  <si>
    <t>3HRS</t>
  </si>
  <si>
    <t>j430</t>
  </si>
  <si>
    <t>j567</t>
  </si>
  <si>
    <t>j544</t>
  </si>
  <si>
    <t>j484</t>
  </si>
  <si>
    <t>j489</t>
  </si>
  <si>
    <t>j638</t>
  </si>
  <si>
    <t>j589</t>
  </si>
  <si>
    <t>j583</t>
  </si>
  <si>
    <t>j287</t>
  </si>
  <si>
    <t>j311</t>
  </si>
  <si>
    <t>j372</t>
  </si>
  <si>
    <t>j358</t>
  </si>
  <si>
    <t>j479</t>
  </si>
  <si>
    <t>j201</t>
  </si>
  <si>
    <t>j166</t>
  </si>
  <si>
    <t>j131</t>
  </si>
  <si>
    <t>Block: MANGRAURA GP: GEHRAULI</t>
  </si>
  <si>
    <t>Date 17-3-2023</t>
  </si>
  <si>
    <t>J51</t>
  </si>
  <si>
    <t>6KG/CM2</t>
  </si>
  <si>
    <t>17-03-2023(09:30AM)</t>
  </si>
  <si>
    <t>17-03-2023(12:30PM)</t>
  </si>
  <si>
    <t>j33</t>
  </si>
  <si>
    <t>j72</t>
  </si>
  <si>
    <t>j29(1)</t>
  </si>
  <si>
    <t>j29(2)</t>
  </si>
  <si>
    <t>j9</t>
  </si>
  <si>
    <t>j20</t>
  </si>
  <si>
    <t>5KG/CM2</t>
  </si>
  <si>
    <t>J144</t>
  </si>
  <si>
    <t>J148</t>
  </si>
  <si>
    <t>j74</t>
  </si>
  <si>
    <t>j155</t>
  </si>
  <si>
    <t>j115</t>
  </si>
  <si>
    <t>j94</t>
  </si>
  <si>
    <t>j162</t>
  </si>
  <si>
    <t>j26</t>
  </si>
  <si>
    <t>J103</t>
  </si>
  <si>
    <t>j88</t>
  </si>
  <si>
    <t>j28</t>
  </si>
  <si>
    <t>J40</t>
  </si>
  <si>
    <t>j84</t>
  </si>
  <si>
    <t>j21</t>
  </si>
  <si>
    <t>J141</t>
  </si>
  <si>
    <t>j122</t>
  </si>
  <si>
    <t>j104</t>
  </si>
  <si>
    <t>j44</t>
  </si>
  <si>
    <t>j54</t>
  </si>
  <si>
    <t>J125</t>
  </si>
  <si>
    <t>j39</t>
  </si>
  <si>
    <t>j124</t>
  </si>
  <si>
    <t>j159</t>
  </si>
  <si>
    <t>J136</t>
  </si>
  <si>
    <t>J105</t>
  </si>
  <si>
    <t>j30</t>
  </si>
  <si>
    <t>J135</t>
  </si>
  <si>
    <t>J131</t>
  </si>
  <si>
    <t>J138</t>
  </si>
  <si>
    <t>j64</t>
  </si>
  <si>
    <t>j128</t>
  </si>
  <si>
    <t>j123</t>
  </si>
  <si>
    <t>J84</t>
  </si>
  <si>
    <t>J60</t>
  </si>
  <si>
    <t>J153</t>
  </si>
  <si>
    <t>j151</t>
  </si>
  <si>
    <t>j45</t>
  </si>
  <si>
    <t>j82</t>
  </si>
  <si>
    <t>j158</t>
  </si>
  <si>
    <t>j81</t>
  </si>
  <si>
    <t>j149</t>
  </si>
  <si>
    <t>j163</t>
  </si>
  <si>
    <t>j13</t>
  </si>
  <si>
    <t>j56</t>
  </si>
  <si>
    <t>j10</t>
  </si>
  <si>
    <t>j140</t>
  </si>
  <si>
    <t>J159</t>
  </si>
  <si>
    <t>j27</t>
  </si>
  <si>
    <t>J134</t>
  </si>
  <si>
    <t>J90</t>
  </si>
  <si>
    <t>j18</t>
  </si>
  <si>
    <t>j15</t>
  </si>
  <si>
    <t>J46</t>
  </si>
  <si>
    <t>j16</t>
  </si>
  <si>
    <t>j146</t>
  </si>
  <si>
    <t>j89</t>
  </si>
  <si>
    <t>J108</t>
  </si>
  <si>
    <t>J165</t>
  </si>
  <si>
    <t>J167</t>
  </si>
  <si>
    <t>j41</t>
  </si>
  <si>
    <t>j164</t>
  </si>
  <si>
    <t>j133</t>
  </si>
  <si>
    <t>j11</t>
  </si>
  <si>
    <t>j167</t>
  </si>
  <si>
    <t>J120</t>
  </si>
  <si>
    <t>j42</t>
  </si>
  <si>
    <t>j142</t>
  </si>
  <si>
    <t>j113</t>
  </si>
  <si>
    <t>J129</t>
  </si>
  <si>
    <t>j137</t>
  </si>
  <si>
    <t>j163a</t>
  </si>
  <si>
    <t>J69</t>
  </si>
  <si>
    <t>j143</t>
  </si>
  <si>
    <t>j126</t>
  </si>
  <si>
    <t>j160</t>
  </si>
  <si>
    <t>j86</t>
  </si>
  <si>
    <t>J90A</t>
  </si>
  <si>
    <t>j34</t>
  </si>
  <si>
    <t>j154</t>
  </si>
  <si>
    <t>j92</t>
  </si>
  <si>
    <t>J132</t>
  </si>
  <si>
    <t>j24</t>
  </si>
  <si>
    <t>j98</t>
  </si>
  <si>
    <t>J132A</t>
  </si>
  <si>
    <t>J132B</t>
  </si>
  <si>
    <t>j90</t>
  </si>
  <si>
    <t>j55</t>
  </si>
  <si>
    <t>j2(b)</t>
  </si>
  <si>
    <t>j5</t>
  </si>
  <si>
    <t>J163</t>
  </si>
  <si>
    <t>j4</t>
  </si>
  <si>
    <t>J107</t>
  </si>
  <si>
    <t>j29</t>
  </si>
  <si>
    <t>j5(1)</t>
  </si>
  <si>
    <t>j8</t>
  </si>
  <si>
    <t>J98</t>
  </si>
  <si>
    <t>J87</t>
  </si>
  <si>
    <t>j2</t>
  </si>
  <si>
    <t>j2(a)</t>
  </si>
  <si>
    <t>J94</t>
  </si>
  <si>
    <t>J78</t>
  </si>
  <si>
    <t>j76</t>
  </si>
  <si>
    <t>j100</t>
  </si>
  <si>
    <t>J76A</t>
  </si>
  <si>
    <t>j73</t>
  </si>
  <si>
    <t>j71</t>
  </si>
  <si>
    <t>j57</t>
  </si>
  <si>
    <t>j79</t>
  </si>
  <si>
    <t>j47</t>
  </si>
  <si>
    <t>j108</t>
  </si>
  <si>
    <t>J160</t>
  </si>
  <si>
    <t>J150</t>
  </si>
  <si>
    <t>Date of Testing  22-3-2023</t>
  </si>
  <si>
    <t>J24</t>
  </si>
  <si>
    <t>22-03-2023(10:00)A.M</t>
  </si>
  <si>
    <t>22-3-2023(2:00)P.M</t>
  </si>
  <si>
    <t>J25</t>
  </si>
  <si>
    <t>J15</t>
  </si>
  <si>
    <t>J50</t>
  </si>
  <si>
    <t>Block: MANGRAURA, G.P-sekhpur adharganj</t>
  </si>
  <si>
    <t xml:space="preserve">Date of Testing </t>
  </si>
  <si>
    <t>start node</t>
  </si>
  <si>
    <t>end node</t>
  </si>
  <si>
    <t>J116</t>
  </si>
  <si>
    <t>KACHA</t>
  </si>
  <si>
    <t>j-3</t>
  </si>
  <si>
    <t>j-1</t>
  </si>
  <si>
    <t>j60</t>
  </si>
  <si>
    <t>j63</t>
  </si>
  <si>
    <t>j70</t>
  </si>
  <si>
    <t>B.T ROAD</t>
  </si>
  <si>
    <t>J1</t>
  </si>
  <si>
    <t>J-8</t>
  </si>
  <si>
    <t>j69</t>
  </si>
  <si>
    <t>j14</t>
  </si>
  <si>
    <t>J8</t>
  </si>
  <si>
    <t>j23</t>
  </si>
  <si>
    <t>j6</t>
  </si>
  <si>
    <t>j129</t>
  </si>
  <si>
    <t>J43</t>
  </si>
  <si>
    <t>j91</t>
  </si>
  <si>
    <t>j48</t>
  </si>
  <si>
    <t>j38</t>
  </si>
  <si>
    <t>J113</t>
  </si>
  <si>
    <t>J119</t>
  </si>
  <si>
    <t>j99</t>
  </si>
  <si>
    <t>j43</t>
  </si>
  <si>
    <t>J54</t>
  </si>
  <si>
    <t>j153</t>
  </si>
  <si>
    <t>j17</t>
  </si>
  <si>
    <t>J113(1)</t>
  </si>
  <si>
    <t>J113(2)</t>
  </si>
  <si>
    <t>j104(a)</t>
  </si>
  <si>
    <t>j104(b)</t>
  </si>
  <si>
    <t>j22</t>
  </si>
  <si>
    <t>j32</t>
  </si>
  <si>
    <t>J75(1)</t>
  </si>
  <si>
    <t>J75(2)</t>
  </si>
  <si>
    <t>j114</t>
  </si>
  <si>
    <t>J5</t>
  </si>
  <si>
    <t>j85</t>
  </si>
  <si>
    <t>BRICK ROAD</t>
  </si>
  <si>
    <t>j19</t>
  </si>
  <si>
    <t>j134</t>
  </si>
  <si>
    <t>j141</t>
  </si>
  <si>
    <t>J109</t>
  </si>
  <si>
    <t>j40</t>
  </si>
  <si>
    <t>j157</t>
  </si>
  <si>
    <t>j105</t>
  </si>
  <si>
    <t>j1</t>
  </si>
  <si>
    <t>j78</t>
  </si>
  <si>
    <t>j148</t>
  </si>
  <si>
    <t>j62</t>
  </si>
  <si>
    <t>j67</t>
  </si>
  <si>
    <t>j109</t>
  </si>
  <si>
    <t>j51</t>
  </si>
  <si>
    <t>j75</t>
  </si>
  <si>
    <t>j92(a)</t>
  </si>
  <si>
    <t>j92(b)</t>
  </si>
  <si>
    <t>OHT</t>
  </si>
  <si>
    <t>j102</t>
  </si>
  <si>
    <t>j103</t>
  </si>
  <si>
    <t>j37</t>
  </si>
  <si>
    <t>j87</t>
  </si>
  <si>
    <t>j144</t>
  </si>
  <si>
    <t>j75(1)</t>
  </si>
  <si>
    <t>j75(2)</t>
  </si>
  <si>
    <t>J92(A)</t>
  </si>
  <si>
    <t>j12</t>
  </si>
  <si>
    <t>j120</t>
  </si>
  <si>
    <t>J92(B)</t>
  </si>
  <si>
    <t>j111</t>
  </si>
  <si>
    <t>J142</t>
  </si>
  <si>
    <t>J104</t>
  </si>
  <si>
    <t>J165(A)</t>
  </si>
  <si>
    <t>J165(B)</t>
  </si>
  <si>
    <t>j80</t>
  </si>
  <si>
    <t>j112</t>
  </si>
  <si>
    <t>j53</t>
  </si>
  <si>
    <t>j65</t>
  </si>
  <si>
    <t>j7</t>
  </si>
  <si>
    <t>INTERLOCKING</t>
  </si>
  <si>
    <t>j139</t>
  </si>
  <si>
    <t>j49</t>
  </si>
  <si>
    <t>j165A</t>
  </si>
  <si>
    <t>j165B</t>
  </si>
  <si>
    <t>j68</t>
  </si>
  <si>
    <t>j68(a)</t>
  </si>
  <si>
    <t>j97</t>
  </si>
  <si>
    <t>j116</t>
  </si>
  <si>
    <t>j147</t>
  </si>
  <si>
    <t>j77</t>
  </si>
  <si>
    <t>j145</t>
  </si>
  <si>
    <t>j113(1)</t>
  </si>
  <si>
    <t>j113(2)</t>
  </si>
  <si>
    <t>j119</t>
  </si>
  <si>
    <t>J12(1)</t>
  </si>
  <si>
    <t>J39(1)</t>
  </si>
  <si>
    <t>J12</t>
  </si>
  <si>
    <t>J71</t>
  </si>
  <si>
    <t>J9</t>
  </si>
  <si>
    <t>J147</t>
  </si>
  <si>
    <t>Block: MANGRAURA, G.P-SARAI JAMMUVARI</t>
  </si>
  <si>
    <t>J281</t>
  </si>
  <si>
    <t>j215</t>
  </si>
  <si>
    <t>j269</t>
  </si>
  <si>
    <t>j276</t>
  </si>
  <si>
    <t>j263</t>
  </si>
  <si>
    <t>j150</t>
  </si>
  <si>
    <t>j259</t>
  </si>
  <si>
    <t>j248</t>
  </si>
  <si>
    <t>j264</t>
  </si>
  <si>
    <t>j272</t>
  </si>
  <si>
    <t>j260</t>
  </si>
  <si>
    <t>J45</t>
  </si>
  <si>
    <t>j261</t>
  </si>
  <si>
    <t>j258</t>
  </si>
  <si>
    <t>J201</t>
  </si>
  <si>
    <t>j540</t>
  </si>
  <si>
    <t>J258</t>
  </si>
  <si>
    <t>j46</t>
  </si>
  <si>
    <t>J6</t>
  </si>
  <si>
    <t>J280</t>
  </si>
  <si>
    <t>j93</t>
  </si>
  <si>
    <t>j106</t>
  </si>
  <si>
    <t>j173</t>
  </si>
  <si>
    <t>j212</t>
  </si>
  <si>
    <t>J26</t>
  </si>
  <si>
    <t>j58</t>
  </si>
  <si>
    <t>Block: MANGRAURA, G.P-MANDHA AND BOJHI</t>
  </si>
  <si>
    <t>J37</t>
  </si>
  <si>
    <t>J38</t>
  </si>
  <si>
    <t>j31</t>
  </si>
  <si>
    <t>j28a</t>
  </si>
  <si>
    <t xml:space="preserve">SHASHIRANJAN </t>
  </si>
  <si>
    <t>ENGINEER</t>
  </si>
  <si>
    <t xml:space="preserve">Date of Testing  </t>
  </si>
  <si>
    <t>j574</t>
  </si>
  <si>
    <t>j610</t>
  </si>
  <si>
    <t>J738</t>
  </si>
  <si>
    <t>J733</t>
  </si>
  <si>
    <t>J262</t>
  </si>
  <si>
    <t>J554</t>
  </si>
  <si>
    <t>j667</t>
  </si>
  <si>
    <t>J616</t>
  </si>
  <si>
    <t>J552</t>
  </si>
  <si>
    <t>J428</t>
  </si>
  <si>
    <t>j450</t>
  </si>
  <si>
    <t>J578</t>
  </si>
  <si>
    <t>J549</t>
  </si>
  <si>
    <t>j616</t>
  </si>
  <si>
    <t>J433</t>
  </si>
  <si>
    <t>J517</t>
  </si>
  <si>
    <t>j630</t>
  </si>
  <si>
    <t>J475</t>
  </si>
  <si>
    <t>J594</t>
  </si>
  <si>
    <t>J504</t>
  </si>
  <si>
    <t>J658</t>
  </si>
  <si>
    <t>J490</t>
  </si>
  <si>
    <t>j411</t>
  </si>
  <si>
    <t>J475A</t>
  </si>
  <si>
    <t>J658A</t>
  </si>
  <si>
    <t>J503</t>
  </si>
  <si>
    <t>j295</t>
  </si>
  <si>
    <t>J532</t>
  </si>
  <si>
    <t>J247</t>
  </si>
  <si>
    <t>j322</t>
  </si>
  <si>
    <t>J758</t>
  </si>
  <si>
    <t>J527</t>
  </si>
  <si>
    <t>j328</t>
  </si>
  <si>
    <t>J494</t>
  </si>
  <si>
    <t>j626</t>
  </si>
  <si>
    <t>J461</t>
  </si>
  <si>
    <t>j339</t>
  </si>
  <si>
    <t>J710</t>
  </si>
  <si>
    <t>j339a</t>
  </si>
  <si>
    <t>j624</t>
  </si>
  <si>
    <t>J727</t>
  </si>
  <si>
    <t>j568</t>
  </si>
  <si>
    <t>J304</t>
  </si>
  <si>
    <t>j184</t>
  </si>
  <si>
    <t>J309</t>
  </si>
  <si>
    <t>j619</t>
  </si>
  <si>
    <t>J368</t>
  </si>
  <si>
    <t>j611</t>
  </si>
  <si>
    <t>J561</t>
  </si>
  <si>
    <t>j587</t>
  </si>
  <si>
    <t>J583</t>
  </si>
  <si>
    <t>j663</t>
  </si>
  <si>
    <t>J680</t>
  </si>
  <si>
    <t>j653</t>
  </si>
  <si>
    <t>J580</t>
  </si>
  <si>
    <t>J676</t>
  </si>
  <si>
    <t>j666</t>
  </si>
  <si>
    <t>J643</t>
  </si>
  <si>
    <t>J357</t>
  </si>
  <si>
    <t>j642a</t>
  </si>
  <si>
    <t>J570</t>
  </si>
  <si>
    <t>j647</t>
  </si>
  <si>
    <t>J440</t>
  </si>
  <si>
    <t>j681</t>
  </si>
  <si>
    <t>j631</t>
  </si>
  <si>
    <t>J536</t>
  </si>
  <si>
    <t>j556</t>
  </si>
  <si>
    <t>j651</t>
  </si>
  <si>
    <t>J659</t>
  </si>
  <si>
    <t>j573</t>
  </si>
  <si>
    <t>J660</t>
  </si>
  <si>
    <t>j458</t>
  </si>
  <si>
    <t>J349</t>
  </si>
  <si>
    <t>j599a</t>
  </si>
  <si>
    <t>J698</t>
  </si>
  <si>
    <t>j599b</t>
  </si>
  <si>
    <t>J690</t>
  </si>
  <si>
    <t>J143</t>
  </si>
  <si>
    <t>J306</t>
  </si>
  <si>
    <t>j599</t>
  </si>
  <si>
    <t>J203</t>
  </si>
  <si>
    <t>j738</t>
  </si>
  <si>
    <t>J459</t>
  </si>
  <si>
    <t>j757</t>
  </si>
  <si>
    <t>j754</t>
  </si>
  <si>
    <t>J227A</t>
  </si>
  <si>
    <t>J310</t>
  </si>
  <si>
    <t>j316</t>
  </si>
  <si>
    <t>j299</t>
  </si>
  <si>
    <t>J368A</t>
  </si>
  <si>
    <t>j362</t>
  </si>
  <si>
    <t>J689</t>
  </si>
  <si>
    <t>J465</t>
  </si>
  <si>
    <t>j318</t>
  </si>
  <si>
    <t>J682</t>
  </si>
  <si>
    <t>j323</t>
  </si>
  <si>
    <t>j380</t>
  </si>
  <si>
    <t>J742</t>
  </si>
  <si>
    <t>J695</t>
  </si>
  <si>
    <t>j733</t>
  </si>
  <si>
    <t>J210</t>
  </si>
  <si>
    <t>J181</t>
  </si>
  <si>
    <t>j717</t>
  </si>
  <si>
    <t>J684</t>
  </si>
  <si>
    <t>J703</t>
  </si>
  <si>
    <t>J716</t>
  </si>
  <si>
    <t>J454</t>
  </si>
  <si>
    <t>J219</t>
  </si>
  <si>
    <t>J191</t>
  </si>
  <si>
    <t>J628</t>
  </si>
  <si>
    <t>J219A</t>
  </si>
  <si>
    <t>J219B</t>
  </si>
  <si>
    <t>J246</t>
  </si>
  <si>
    <t>J246A</t>
  </si>
  <si>
    <t>J246B</t>
  </si>
  <si>
    <t>Block: MANGRAURA, G.P-Purebhika &amp; Raigarh</t>
  </si>
  <si>
    <t>OD (MM)</t>
  </si>
  <si>
    <t>J286</t>
  </si>
  <si>
    <t>J110</t>
  </si>
  <si>
    <t>J182</t>
  </si>
  <si>
    <t>J183</t>
  </si>
  <si>
    <t>J277</t>
  </si>
  <si>
    <t>J74</t>
  </si>
  <si>
    <t>J273</t>
  </si>
  <si>
    <t>J293</t>
  </si>
  <si>
    <t>J326</t>
  </si>
  <si>
    <t>J196</t>
  </si>
  <si>
    <t>J303</t>
  </si>
  <si>
    <t>J297</t>
  </si>
  <si>
    <t>J320</t>
  </si>
  <si>
    <t>J370</t>
  </si>
  <si>
    <t>J311</t>
  </si>
  <si>
    <t>J290</t>
  </si>
  <si>
    <t>J285</t>
  </si>
  <si>
    <t>J146</t>
  </si>
  <si>
    <t>J292</t>
  </si>
  <si>
    <t>J299</t>
  </si>
  <si>
    <t>J200</t>
  </si>
  <si>
    <t>J332</t>
  </si>
  <si>
    <t>J305</t>
  </si>
  <si>
    <t>J298</t>
  </si>
  <si>
    <t>J187</t>
  </si>
  <si>
    <t>J342</t>
  </si>
  <si>
    <t>J343</t>
  </si>
  <si>
    <t>J340</t>
  </si>
  <si>
    <t>J91</t>
  </si>
  <si>
    <t>J335</t>
  </si>
  <si>
    <t>J302</t>
  </si>
  <si>
    <t>J288</t>
  </si>
  <si>
    <t>J319</t>
  </si>
  <si>
    <t>J256</t>
  </si>
  <si>
    <t>J177</t>
  </si>
  <si>
    <t>J61</t>
  </si>
  <si>
    <t>J315</t>
  </si>
  <si>
    <t>J314</t>
  </si>
  <si>
    <t>S.E ENGINEER</t>
  </si>
  <si>
    <t>J73</t>
  </si>
  <si>
    <t>J333</t>
  </si>
  <si>
    <t>J269</t>
  </si>
  <si>
    <t>J161</t>
  </si>
  <si>
    <t>J356</t>
  </si>
  <si>
    <t>J271</t>
  </si>
  <si>
    <t>J166</t>
  </si>
  <si>
    <t>J317</t>
  </si>
  <si>
    <t>J151</t>
  </si>
  <si>
    <t>J3</t>
  </si>
  <si>
    <t>J366</t>
  </si>
  <si>
    <t>J339</t>
  </si>
  <si>
    <t>J308</t>
  </si>
  <si>
    <t>J221</t>
  </si>
  <si>
    <t>J268</t>
  </si>
  <si>
    <t>J358</t>
  </si>
  <si>
    <t>J283</t>
  </si>
  <si>
    <t>J169</t>
  </si>
  <si>
    <t>J41</t>
  </si>
  <si>
    <t>J360</t>
  </si>
  <si>
    <t>J328</t>
  </si>
  <si>
    <t>J233</t>
  </si>
  <si>
    <t>J124</t>
  </si>
  <si>
    <t>J318</t>
  </si>
  <si>
    <t>J321</t>
  </si>
  <si>
    <t>J192</t>
  </si>
  <si>
    <t>J341</t>
  </si>
  <si>
    <t>J198</t>
  </si>
  <si>
    <t>J127</t>
  </si>
  <si>
    <t>J215</t>
  </si>
  <si>
    <t>J348</t>
  </si>
  <si>
    <t>J154</t>
  </si>
  <si>
    <t>J345</t>
  </si>
  <si>
    <t>J327</t>
  </si>
  <si>
    <t>J279</t>
  </si>
  <si>
    <t>J224</t>
  </si>
  <si>
    <t>J353</t>
  </si>
  <si>
    <t>J128</t>
  </si>
  <si>
    <t>J359</t>
  </si>
  <si>
    <t>J211</t>
  </si>
  <si>
    <t>J184</t>
  </si>
  <si>
    <t>J367</t>
  </si>
  <si>
    <t>J263</t>
  </si>
  <si>
    <t>J354</t>
  </si>
  <si>
    <t>J218</t>
  </si>
  <si>
    <t>J208</t>
  </si>
  <si>
    <t>J334</t>
  </si>
  <si>
    <t>J171</t>
  </si>
  <si>
    <t>J344</t>
  </si>
  <si>
    <t>J371</t>
  </si>
  <si>
    <t>J235</t>
  </si>
  <si>
    <t>J347</t>
  </si>
  <si>
    <t>J222</t>
  </si>
  <si>
    <t>J239</t>
  </si>
  <si>
    <t>J365</t>
  </si>
  <si>
    <t>J95</t>
  </si>
  <si>
    <t>J238</t>
  </si>
  <si>
    <t>J323</t>
  </si>
  <si>
    <t>J168</t>
  </si>
  <si>
    <t>J225</t>
  </si>
  <si>
    <t>J331</t>
  </si>
  <si>
    <t>J133</t>
  </si>
  <si>
    <t>J190</t>
  </si>
  <si>
    <t>J295</t>
  </si>
  <si>
    <t>J257</t>
  </si>
  <si>
    <t>J259</t>
  </si>
  <si>
    <t>J199</t>
  </si>
  <si>
    <t>J291</t>
  </si>
  <si>
    <t>J266</t>
  </si>
  <si>
    <t>J121</t>
  </si>
  <si>
    <t>J106</t>
  </si>
  <si>
    <t>J300</t>
  </si>
  <si>
    <t>J223</t>
  </si>
  <si>
    <t>J88</t>
  </si>
  <si>
    <t>J289</t>
  </si>
  <si>
    <t>J68</t>
  </si>
  <si>
    <t>J242</t>
  </si>
  <si>
    <t>J272</t>
  </si>
  <si>
    <t>J180</t>
  </si>
  <si>
    <t>J237</t>
  </si>
  <si>
    <t>J83</t>
  </si>
  <si>
    <t>J236</t>
  </si>
  <si>
    <t>J216</t>
  </si>
  <si>
    <t>J212</t>
  </si>
  <si>
    <t>J172</t>
  </si>
  <si>
    <t>J255</t>
  </si>
  <si>
    <t>J55</t>
  </si>
  <si>
    <t>J140</t>
  </si>
  <si>
    <t>J244</t>
  </si>
  <si>
    <t>J245</t>
  </si>
  <si>
    <t>J250</t>
  </si>
  <si>
    <t>DESIGNATION</t>
  </si>
  <si>
    <t>J294</t>
  </si>
  <si>
    <t>SIGNATURE</t>
  </si>
  <si>
    <t>J96</t>
  </si>
  <si>
    <t>J301</t>
  </si>
  <si>
    <t>J264</t>
  </si>
  <si>
    <t>J162</t>
  </si>
  <si>
    <t>J253</t>
  </si>
  <si>
    <t>J213</t>
  </si>
  <si>
    <t>J248</t>
  </si>
  <si>
    <t>J270</t>
  </si>
  <si>
    <t>J278</t>
  </si>
  <si>
    <t>J338</t>
  </si>
  <si>
    <t>J123</t>
  </si>
  <si>
    <t>J276</t>
  </si>
  <si>
    <t>J226</t>
  </si>
  <si>
    <t>J287</t>
  </si>
  <si>
    <t>J207</t>
  </si>
  <si>
    <t>J230</t>
  </si>
  <si>
    <t>J322</t>
  </si>
  <si>
    <t>J234</t>
  </si>
  <si>
    <t>J362</t>
  </si>
  <si>
    <t>Block: MANGRAURA, G.P-ATTARASAND AND PARASPUR</t>
  </si>
  <si>
    <t>J650</t>
  </si>
  <si>
    <t>J633</t>
  </si>
  <si>
    <t>J638</t>
  </si>
  <si>
    <t>J711</t>
  </si>
  <si>
    <t>J589</t>
  </si>
  <si>
    <t>J457</t>
  </si>
  <si>
    <t>J489</t>
  </si>
  <si>
    <t>J395</t>
  </si>
  <si>
    <t>J597</t>
  </si>
  <si>
    <t>J714</t>
  </si>
  <si>
    <t>J718</t>
  </si>
  <si>
    <t>J605</t>
  </si>
  <si>
    <t>J719</t>
  </si>
  <si>
    <t>J543</t>
  </si>
  <si>
    <t>J448</t>
  </si>
  <si>
    <t>J652</t>
  </si>
  <si>
    <t>J606</t>
  </si>
  <si>
    <t>J394</t>
  </si>
  <si>
    <t>J612</t>
  </si>
  <si>
    <t>J547</t>
  </si>
  <si>
    <t>J462</t>
  </si>
  <si>
    <t>J526</t>
  </si>
  <si>
    <t>J588</t>
  </si>
  <si>
    <t>J376</t>
  </si>
  <si>
    <t>J538</t>
  </si>
  <si>
    <t>J564</t>
  </si>
  <si>
    <t>J524</t>
  </si>
  <si>
    <t>J382</t>
  </si>
  <si>
    <t>J546</t>
  </si>
  <si>
    <t>J469</t>
  </si>
  <si>
    <t>J614</t>
  </si>
  <si>
    <t>J432</t>
  </si>
  <si>
    <t>J410</t>
  </si>
  <si>
    <t>J423</t>
  </si>
  <si>
    <t>J418</t>
  </si>
  <si>
    <t>J509</t>
  </si>
  <si>
    <t>J596</t>
  </si>
  <si>
    <t>J372</t>
  </si>
  <si>
    <t>J405</t>
  </si>
  <si>
    <t>J463</t>
  </si>
  <si>
    <t>J696</t>
  </si>
  <si>
    <t>J507</t>
  </si>
  <si>
    <t>J467</t>
  </si>
  <si>
    <t>J501</t>
  </si>
  <si>
    <t>J478</t>
  </si>
  <si>
    <t>J563</t>
  </si>
  <si>
    <t>J491</t>
  </si>
  <si>
    <t>J383</t>
  </si>
  <si>
    <t>J427</t>
  </si>
  <si>
    <t>J693</t>
  </si>
  <si>
    <t>J603</t>
  </si>
  <si>
    <t>J313</t>
  </si>
  <si>
    <t>J243</t>
  </si>
  <si>
    <t>J420</t>
  </si>
  <si>
    <t>J424</t>
  </si>
  <si>
    <t>J194</t>
  </si>
  <si>
    <t>J544</t>
  </si>
  <si>
    <t>J484</t>
  </si>
  <si>
    <t>J496</t>
  </si>
  <si>
    <t>J557</t>
  </si>
  <si>
    <t>J374</t>
  </si>
  <si>
    <t>J750</t>
  </si>
  <si>
    <t>J746</t>
  </si>
  <si>
    <t>J508</t>
  </si>
  <si>
    <t>J479</t>
  </si>
  <si>
    <t>J325</t>
  </si>
  <si>
    <t>J567</t>
  </si>
  <si>
    <t>J699</t>
  </si>
  <si>
    <t>J439</t>
  </si>
  <si>
    <t>J453</t>
  </si>
  <si>
    <t>J672</t>
  </si>
  <si>
    <t>J529</t>
  </si>
  <si>
    <t>J646</t>
  </si>
  <si>
    <t>J576</t>
  </si>
  <si>
    <t>J707</t>
  </si>
  <si>
    <t>HYDRO</t>
  </si>
  <si>
    <t>JMR</t>
  </si>
  <si>
    <t>Block: MANGRAURA, G.P-MALAK</t>
  </si>
  <si>
    <t>6kg/cm2</t>
  </si>
  <si>
    <t>j130</t>
  </si>
  <si>
    <t>j35</t>
  </si>
  <si>
    <t>j136</t>
  </si>
  <si>
    <t>j118</t>
  </si>
  <si>
    <t>j232</t>
  </si>
  <si>
    <t>j229</t>
  </si>
  <si>
    <t>j221</t>
  </si>
  <si>
    <t>j83</t>
  </si>
  <si>
    <t>j235</t>
  </si>
  <si>
    <t>j233</t>
  </si>
  <si>
    <t>j161</t>
  </si>
  <si>
    <t>j241</t>
  </si>
  <si>
    <t>j210</t>
  </si>
  <si>
    <t>j156</t>
  </si>
  <si>
    <t>j96</t>
  </si>
  <si>
    <t>j243</t>
  </si>
  <si>
    <t>j196</t>
  </si>
  <si>
    <t>j169</t>
  </si>
  <si>
    <t>j229a</t>
  </si>
  <si>
    <t>j241a</t>
  </si>
  <si>
    <t>j219</t>
  </si>
  <si>
    <t>j208</t>
  </si>
  <si>
    <t>j234</t>
  </si>
  <si>
    <t>j36</t>
  </si>
  <si>
    <t>j240</t>
  </si>
  <si>
    <t>j125</t>
  </si>
  <si>
    <t>j138</t>
  </si>
  <si>
    <t>j239</t>
  </si>
  <si>
    <t>j177</t>
  </si>
  <si>
    <t>j242</t>
  </si>
  <si>
    <t>j183</t>
  </si>
  <si>
    <t>j187</t>
  </si>
  <si>
    <t>j127</t>
  </si>
  <si>
    <t>j197</t>
  </si>
  <si>
    <t>j170</t>
  </si>
  <si>
    <t>j111a</t>
  </si>
  <si>
    <t>j135</t>
  </si>
  <si>
    <t>j230</t>
  </si>
  <si>
    <t>j230a</t>
  </si>
  <si>
    <t>j179</t>
  </si>
  <si>
    <t>j89a</t>
  </si>
  <si>
    <t>j81a</t>
  </si>
  <si>
    <t>j81b</t>
  </si>
  <si>
    <t>j190</t>
  </si>
  <si>
    <t>j236</t>
  </si>
  <si>
    <t>j110a</t>
  </si>
  <si>
    <t>j110b</t>
  </si>
  <si>
    <t>j223</t>
  </si>
  <si>
    <t>j238</t>
  </si>
  <si>
    <t>j100b</t>
  </si>
  <si>
    <t>j152</t>
  </si>
  <si>
    <t>j165</t>
  </si>
  <si>
    <t>j217</t>
  </si>
  <si>
    <t>j188</t>
  </si>
  <si>
    <t>j213</t>
  </si>
  <si>
    <t>j200</t>
  </si>
  <si>
    <t>j220</t>
  </si>
  <si>
    <t>j216</t>
  </si>
  <si>
    <t>j207</t>
  </si>
  <si>
    <t>j198</t>
  </si>
  <si>
    <t>j178</t>
  </si>
  <si>
    <t>j211</t>
  </si>
  <si>
    <t>j203</t>
  </si>
  <si>
    <t>j204</t>
  </si>
  <si>
    <t>j192</t>
  </si>
  <si>
    <t>j193</t>
  </si>
  <si>
    <t>j168</t>
  </si>
  <si>
    <t>j61</t>
  </si>
  <si>
    <t>j117</t>
  </si>
  <si>
    <t>j191</t>
  </si>
  <si>
    <t>j185</t>
  </si>
  <si>
    <t>j181</t>
  </si>
  <si>
    <t>j225</t>
  </si>
  <si>
    <t>j224</t>
  </si>
  <si>
    <t>j116a</t>
  </si>
  <si>
    <t>j223a</t>
  </si>
  <si>
    <t>j132</t>
  </si>
  <si>
    <t>j189</t>
  </si>
  <si>
    <t>j206</t>
  </si>
  <si>
    <t>j122a</t>
  </si>
  <si>
    <t>j107</t>
  </si>
  <si>
    <t>j172</t>
  </si>
  <si>
    <t>j236a</t>
  </si>
  <si>
    <t>j236b</t>
  </si>
  <si>
    <t>j150a</t>
  </si>
  <si>
    <t>j150b</t>
  </si>
  <si>
    <t>j182</t>
  </si>
  <si>
    <t>j150c</t>
  </si>
  <si>
    <t>j150d</t>
  </si>
  <si>
    <t>j175</t>
  </si>
  <si>
    <t>j95</t>
  </si>
  <si>
    <t>j228</t>
  </si>
  <si>
    <t>j237</t>
  </si>
  <si>
    <t>j231</t>
  </si>
  <si>
    <t>j195</t>
  </si>
  <si>
    <t>j186</t>
  </si>
  <si>
    <t>J131A</t>
  </si>
  <si>
    <t>J131B</t>
  </si>
  <si>
    <t>j222</t>
  </si>
  <si>
    <t>j245</t>
  </si>
  <si>
    <t>j227</t>
  </si>
  <si>
    <t>j110</t>
  </si>
  <si>
    <t>J186</t>
  </si>
  <si>
    <t>J231</t>
  </si>
  <si>
    <t>j174</t>
  </si>
  <si>
    <t>j226</t>
  </si>
  <si>
    <t>Block: MANGRAURA, G.P-Dehri digar</t>
  </si>
  <si>
    <t>Pressure hold time (Hrs)</t>
  </si>
  <si>
    <t>j202</t>
  </si>
  <si>
    <t>J221A</t>
  </si>
  <si>
    <t>J221B</t>
  </si>
  <si>
    <t>J221C</t>
  </si>
  <si>
    <t>J185</t>
  </si>
  <si>
    <t>J221D</t>
  </si>
  <si>
    <t>J220</t>
  </si>
  <si>
    <t>J205</t>
  </si>
  <si>
    <t>J241A</t>
  </si>
  <si>
    <t>J241B</t>
  </si>
  <si>
    <t>J247A</t>
  </si>
  <si>
    <t>J240</t>
  </si>
  <si>
    <t>J247B</t>
  </si>
  <si>
    <t>J254</t>
  </si>
  <si>
    <t xml:space="preserve">J221 </t>
  </si>
  <si>
    <t>J53A</t>
  </si>
  <si>
    <t>J53B</t>
  </si>
  <si>
    <t>6KG/CM3</t>
  </si>
  <si>
    <t>6KG/CM4</t>
  </si>
  <si>
    <t>6KG/CM5</t>
  </si>
  <si>
    <t>J204</t>
  </si>
  <si>
    <t>J209</t>
  </si>
  <si>
    <t>J232</t>
  </si>
  <si>
    <t>J210A</t>
  </si>
  <si>
    <t>J210B</t>
  </si>
  <si>
    <t>Block: MANGRAURA, G.P-Sarsidih</t>
  </si>
  <si>
    <t>j171</t>
  </si>
  <si>
    <t>j50</t>
  </si>
  <si>
    <t>j59</t>
  </si>
  <si>
    <t>j25</t>
  </si>
  <si>
    <t>j180</t>
  </si>
  <si>
    <t>j176</t>
  </si>
  <si>
    <t>Block: MANGRAURA, G.P- Attarsand and paraspur</t>
  </si>
  <si>
    <t>J577</t>
  </si>
  <si>
    <t>J602</t>
  </si>
  <si>
    <t>J590</t>
  </si>
  <si>
    <t>J351</t>
  </si>
  <si>
    <t>350A</t>
  </si>
  <si>
    <t>J350A</t>
  </si>
  <si>
    <t>J438</t>
  </si>
  <si>
    <t>J275</t>
  </si>
  <si>
    <t>J175</t>
  </si>
  <si>
    <t>J477</t>
  </si>
  <si>
    <t>J530</t>
  </si>
  <si>
    <t>J730</t>
  </si>
  <si>
    <t>J705</t>
  </si>
  <si>
    <t>J679</t>
  </si>
  <si>
    <t>J363</t>
  </si>
  <si>
    <t>J422</t>
  </si>
  <si>
    <t>J485</t>
  </si>
  <si>
    <t>J713</t>
  </si>
  <si>
    <t>J713A</t>
  </si>
  <si>
    <t>J401</t>
  </si>
  <si>
    <t>J678</t>
  </si>
  <si>
    <t>J608</t>
  </si>
  <si>
    <t>J249</t>
  </si>
  <si>
    <t>J402</t>
  </si>
  <si>
    <t>J740</t>
  </si>
  <si>
    <t>J736</t>
  </si>
  <si>
    <t>J156</t>
  </si>
  <si>
    <t>J296</t>
  </si>
  <si>
    <t>J523</t>
  </si>
  <si>
    <t>J728</t>
  </si>
  <si>
    <t>J446</t>
  </si>
  <si>
    <t>J470</t>
  </si>
  <si>
    <t>J441</t>
  </si>
  <si>
    <t>J500</t>
  </si>
  <si>
    <t>J260</t>
  </si>
  <si>
    <t>J415</t>
  </si>
  <si>
    <t>J436</t>
  </si>
  <si>
    <t>J627</t>
  </si>
  <si>
    <t>J617</t>
  </si>
  <si>
    <t>J445</t>
  </si>
  <si>
    <t>J601</t>
  </si>
  <si>
    <t>J449</t>
  </si>
  <si>
    <t>J569</t>
  </si>
  <si>
    <t>J413</t>
  </si>
  <si>
    <t>J533</t>
  </si>
  <si>
    <t>J482</t>
  </si>
  <si>
    <t>J160A</t>
  </si>
  <si>
    <t>J621</t>
  </si>
  <si>
    <t>J585</t>
  </si>
  <si>
    <t>J706</t>
  </si>
  <si>
    <t>J656</t>
  </si>
  <si>
    <t>J497</t>
  </si>
  <si>
    <t>J408</t>
  </si>
  <si>
    <t>J130</t>
  </si>
  <si>
    <t>J379</t>
  </si>
  <si>
    <t>J261</t>
  </si>
  <si>
    <t>J518</t>
  </si>
  <si>
    <t>J525</t>
  </si>
  <si>
    <t>J350B</t>
  </si>
  <si>
    <t>J350C</t>
  </si>
  <si>
    <t>J350</t>
  </si>
  <si>
    <t>J531</t>
  </si>
  <si>
    <t>Block: MANGRAURA, G.P- Kansapatti</t>
  </si>
  <si>
    <t>J63A</t>
  </si>
  <si>
    <t>J63B</t>
  </si>
  <si>
    <t>J76B</t>
  </si>
  <si>
    <t>J89A</t>
  </si>
  <si>
    <t>J89B</t>
  </si>
  <si>
    <t>J89C</t>
  </si>
  <si>
    <t>J89D</t>
  </si>
  <si>
    <t>J89E</t>
  </si>
  <si>
    <t>J89F</t>
  </si>
  <si>
    <t>J115A</t>
  </si>
  <si>
    <t>J115B</t>
  </si>
  <si>
    <t>J126</t>
  </si>
  <si>
    <t>J85A</t>
  </si>
  <si>
    <t>J85B</t>
  </si>
  <si>
    <t>J44</t>
  </si>
  <si>
    <t>J44A</t>
  </si>
  <si>
    <t>J30</t>
  </si>
  <si>
    <t>J70A</t>
  </si>
  <si>
    <t>J70B</t>
  </si>
  <si>
    <t>J20A</t>
  </si>
  <si>
    <t>J20B</t>
  </si>
  <si>
    <t>Block: MANGRAURA, G.P.- DHAROULI</t>
  </si>
  <si>
    <t>173A</t>
  </si>
  <si>
    <t>173B</t>
  </si>
  <si>
    <t>Block: MANGRAURA, G.P- Lauli Pokhtakham</t>
  </si>
  <si>
    <t>J296A</t>
  </si>
  <si>
    <t>J296B</t>
  </si>
  <si>
    <t>J296C</t>
  </si>
  <si>
    <t>J116A</t>
  </si>
  <si>
    <t>J116B</t>
  </si>
  <si>
    <t>J136A</t>
  </si>
  <si>
    <t>J39A</t>
  </si>
  <si>
    <t>J39B</t>
  </si>
  <si>
    <t>5.8KG/CM2</t>
  </si>
  <si>
    <t>J157</t>
  </si>
  <si>
    <t>J143A</t>
  </si>
  <si>
    <t>J143B</t>
  </si>
  <si>
    <t>J173</t>
  </si>
  <si>
    <t>J190A</t>
  </si>
  <si>
    <t>J267</t>
  </si>
  <si>
    <t>J152A</t>
  </si>
  <si>
    <t xml:space="preserve">J152 </t>
  </si>
  <si>
    <t>J152B</t>
  </si>
  <si>
    <t>J261A</t>
  </si>
  <si>
    <t>J188A</t>
  </si>
  <si>
    <t>J188B</t>
  </si>
  <si>
    <t>J251</t>
  </si>
  <si>
    <t>4.8KG/CM2</t>
  </si>
  <si>
    <t>J171A</t>
  </si>
  <si>
    <t>J171B</t>
  </si>
  <si>
    <t>J193</t>
  </si>
  <si>
    <t>J222A</t>
  </si>
  <si>
    <t xml:space="preserve">J222 </t>
  </si>
  <si>
    <t>J224A</t>
  </si>
  <si>
    <t>J190B</t>
  </si>
  <si>
    <t>J197</t>
  </si>
  <si>
    <t>J197A</t>
  </si>
  <si>
    <t>J197B</t>
  </si>
  <si>
    <t>J224B</t>
  </si>
  <si>
    <t>J25A</t>
  </si>
  <si>
    <t>J25B</t>
  </si>
  <si>
    <t>J25C</t>
  </si>
  <si>
    <t>J25D</t>
  </si>
  <si>
    <t>5.7KG/CM2</t>
  </si>
  <si>
    <t xml:space="preserve">J7 </t>
  </si>
  <si>
    <t>J69A</t>
  </si>
  <si>
    <t>J5A</t>
  </si>
  <si>
    <t>J70(1)</t>
  </si>
  <si>
    <t>J65(1)</t>
  </si>
  <si>
    <t xml:space="preserve">J70 </t>
  </si>
  <si>
    <t xml:space="preserve">J65 </t>
  </si>
  <si>
    <t>J56</t>
  </si>
  <si>
    <t>J50A</t>
  </si>
  <si>
    <t>J50B</t>
  </si>
  <si>
    <t>4.6KG/CM2</t>
  </si>
  <si>
    <t>J194A</t>
  </si>
  <si>
    <t>J194B</t>
  </si>
  <si>
    <t>J217</t>
  </si>
  <si>
    <t>J206</t>
  </si>
  <si>
    <t>J178</t>
  </si>
  <si>
    <t>J61A</t>
  </si>
  <si>
    <t>J61B</t>
  </si>
  <si>
    <t>J61C</t>
  </si>
  <si>
    <t>J52A</t>
  </si>
  <si>
    <t>J52B</t>
  </si>
  <si>
    <t>J52C</t>
  </si>
  <si>
    <t>Block: MANGRAURA, G.P.- PUREMANIKANTH</t>
  </si>
  <si>
    <t>J29A</t>
  </si>
  <si>
    <t>J29B</t>
  </si>
  <si>
    <t>J29C</t>
  </si>
  <si>
    <t>J29D</t>
  </si>
  <si>
    <t>J29E</t>
  </si>
  <si>
    <t>J74A</t>
  </si>
  <si>
    <t>J74B</t>
  </si>
  <si>
    <t>J3A</t>
  </si>
  <si>
    <t>J3B</t>
  </si>
  <si>
    <t xml:space="preserve">J3 </t>
  </si>
  <si>
    <t xml:space="preserve">J4 </t>
  </si>
  <si>
    <t xml:space="preserve">J22 </t>
  </si>
  <si>
    <t>J17A</t>
  </si>
  <si>
    <t>J17B</t>
  </si>
  <si>
    <t xml:space="preserve">J9 </t>
  </si>
  <si>
    <t>5.2KG/CM2</t>
  </si>
  <si>
    <t>J128A</t>
  </si>
  <si>
    <t>J79A</t>
  </si>
  <si>
    <t>J79B</t>
  </si>
  <si>
    <t>J79C</t>
  </si>
  <si>
    <t>J79D</t>
  </si>
  <si>
    <t>J24A</t>
  </si>
  <si>
    <t>J24B</t>
  </si>
  <si>
    <t>J56A</t>
  </si>
  <si>
    <t>J56B</t>
  </si>
  <si>
    <t>J56C</t>
  </si>
  <si>
    <t>J56D</t>
  </si>
  <si>
    <t>J5B</t>
  </si>
  <si>
    <t xml:space="preserve">J2 </t>
  </si>
  <si>
    <t>J2A</t>
  </si>
  <si>
    <t xml:space="preserve">J74 </t>
  </si>
  <si>
    <t>Block: MANGRAURA, G.P.- Choumari</t>
  </si>
  <si>
    <t>J155</t>
  </si>
  <si>
    <t>J183A</t>
  </si>
  <si>
    <t>J183B</t>
  </si>
  <si>
    <t>J184A</t>
  </si>
  <si>
    <t xml:space="preserve">J32 </t>
  </si>
  <si>
    <t>J31A</t>
  </si>
  <si>
    <t>J184B</t>
  </si>
  <si>
    <t>J201A</t>
  </si>
  <si>
    <t>J201B</t>
  </si>
  <si>
    <t>J201C</t>
  </si>
  <si>
    <t>J189</t>
  </si>
  <si>
    <t>J186A</t>
  </si>
  <si>
    <t>J186B</t>
  </si>
  <si>
    <t>J186C</t>
  </si>
  <si>
    <t>J186D</t>
  </si>
  <si>
    <t>J186E</t>
  </si>
  <si>
    <t>J186F</t>
  </si>
  <si>
    <t>J150A</t>
  </si>
  <si>
    <t>J185A</t>
  </si>
  <si>
    <t>J185B</t>
  </si>
  <si>
    <t>J57A</t>
  </si>
  <si>
    <t>J32A</t>
  </si>
  <si>
    <t>J21A</t>
  </si>
  <si>
    <t>J156A</t>
  </si>
  <si>
    <t>J156B</t>
  </si>
  <si>
    <t>J175A</t>
  </si>
  <si>
    <t>J175B</t>
  </si>
  <si>
    <t>J132C</t>
  </si>
  <si>
    <t>J132E</t>
  </si>
  <si>
    <t>J132D</t>
  </si>
  <si>
    <t>J132F</t>
  </si>
  <si>
    <t>J132G</t>
  </si>
  <si>
    <t>J14A</t>
  </si>
  <si>
    <t>J14B</t>
  </si>
  <si>
    <t>Block: MANGRAURA, G.P.- BHAIDPUR</t>
  </si>
  <si>
    <t>J94A</t>
  </si>
  <si>
    <t>J94B</t>
  </si>
  <si>
    <t xml:space="preserve">J11 </t>
  </si>
  <si>
    <t>J13A</t>
  </si>
  <si>
    <t>J13B</t>
  </si>
  <si>
    <t>J84A</t>
  </si>
  <si>
    <t>J21B</t>
  </si>
  <si>
    <t>J49A</t>
  </si>
  <si>
    <t>J28A</t>
  </si>
  <si>
    <t>J12A</t>
  </si>
  <si>
    <t>J12B</t>
  </si>
  <si>
    <t>J12C</t>
  </si>
  <si>
    <t>J64A</t>
  </si>
  <si>
    <t>J80A</t>
  </si>
  <si>
    <t>J80B</t>
  </si>
  <si>
    <t>J71A</t>
  </si>
  <si>
    <t>J71B</t>
  </si>
  <si>
    <t>J72A</t>
  </si>
  <si>
    <t>J72B</t>
  </si>
  <si>
    <t>J129A</t>
  </si>
  <si>
    <t>142A</t>
  </si>
  <si>
    <t>J142A</t>
  </si>
  <si>
    <t>J142B</t>
  </si>
  <si>
    <t xml:space="preserve">J129 </t>
  </si>
  <si>
    <t>J130A</t>
  </si>
  <si>
    <t>J130B</t>
  </si>
  <si>
    <t>J129B</t>
  </si>
  <si>
    <t>J97A</t>
  </si>
  <si>
    <t>J118A</t>
  </si>
  <si>
    <t>J102A</t>
  </si>
  <si>
    <t>J102B</t>
  </si>
  <si>
    <t>J132(1)</t>
  </si>
  <si>
    <t>J132(2)</t>
  </si>
  <si>
    <t>J105A</t>
  </si>
  <si>
    <t>J105B</t>
  </si>
  <si>
    <t>Block: MANGRAURA, G.P.- AMUWAHI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</si>
</sst>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F400]h:mm:ss\ AM/PM"/>
  </numFmts>
  <fonts count="22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1"/>
      <name val="Calibri"/>
      <charset val="134"/>
      <scheme val="minor"/>
    </font>
    <font>
      <b/>
      <sz val="11"/>
      <name val="Adani Regular"/>
      <charset val="134"/>
    </font>
    <font>
      <b/>
      <sz val="12"/>
      <name val="Book Antiqua"/>
      <charset val="134"/>
    </font>
    <font>
      <b/>
      <sz val="12"/>
      <color theme="1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sz val="11"/>
      <color theme="1"/>
      <name val="Calibri"/>
      <charset val="134"/>
      <scheme val="minor"/>
    </font>
    <font>
      <b/>
      <sz val="10"/>
      <name val="Arial"/>
      <charset val="134"/>
    </font>
    <font>
      <b/>
      <sz val="12"/>
      <name val="Arial"/>
      <charset val="134"/>
    </font>
    <font>
      <sz val="12"/>
      <color theme="1"/>
      <name val="Calibri"/>
      <charset val="134"/>
      <scheme val="minor"/>
    </font>
    <font>
      <b/>
      <sz val="9"/>
      <name val="Calibri"/>
      <charset val="134"/>
      <scheme val="minor"/>
    </font>
    <font>
      <b/>
      <sz val="18"/>
      <name val="Calibri"/>
      <charset val="134"/>
      <scheme val="minor"/>
    </font>
    <font>
      <b/>
      <u/>
      <sz val="12"/>
      <name val="Calibri "/>
      <charset val="134"/>
    </font>
    <font>
      <b/>
      <sz val="14"/>
      <name val="Calibri "/>
      <charset val="134"/>
    </font>
    <font>
      <b/>
      <sz val="12"/>
      <name val="Calibri "/>
      <charset val="134"/>
    </font>
    <font>
      <sz val="12"/>
      <name val="Calibri "/>
      <charset val="134"/>
    </font>
    <font>
      <sz val="10"/>
      <name val="Arial"/>
      <charset val="134"/>
    </font>
    <font>
      <sz val="12"/>
      <name val="Arial"/>
      <charset val="134"/>
    </font>
    <font>
      <b/>
      <vertAlign val="superscript"/>
      <sz val="12"/>
      <name val="Calibri "/>
      <charset val="134"/>
    </font>
    <font>
      <sz val="12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rgb="FFFF0000"/>
        <bgColor indexed="64"/>
      </patternFill>
    </fill>
  </fills>
  <borders count="35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5">
    <xf numFmtId="0" fontId="0" fillId="0" borderId="0"/>
    <xf numFmtId="0" fontId="8" fillId="0" borderId="0"/>
    <xf numFmtId="0" fontId="18" fillId="0" borderId="0"/>
    <xf numFmtId="0" fontId="19" fillId="0" borderId="0"/>
    <xf numFmtId="0" fontId="1" fillId="0" borderId="0"/>
  </cellStyleXfs>
  <cellXfs count="384">
    <xf numFmtId="0" fontId="0" fillId="0" borderId="0" xfId="0"/>
    <xf numFmtId="0" fontId="0" fillId="0" borderId="1" xfId="0" applyBorder="1" applyAlignment="1">
      <alignment horizontal="center"/>
    </xf>
    <xf numFmtId="0" fontId="3" fillId="0" borderId="3" xfId="0" applyFont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3" fillId="0" borderId="0" xfId="0" applyFont="1" applyAlignment="1">
      <alignment horizontal="center" vertical="center"/>
    </xf>
    <xf numFmtId="0" fontId="4" fillId="0" borderId="8" xfId="2" applyFont="1" applyBorder="1" applyAlignment="1">
      <alignment horizontal="left" vertical="center" wrapText="1"/>
    </xf>
    <xf numFmtId="0" fontId="4" fillId="0" borderId="9" xfId="2" applyFont="1" applyBorder="1" applyAlignment="1">
      <alignment horizontal="left" vertical="center" wrapText="1"/>
    </xf>
    <xf numFmtId="0" fontId="5" fillId="0" borderId="10" xfId="0" applyFont="1" applyBorder="1" applyAlignment="1">
      <alignment horizontal="left" vertical="center"/>
    </xf>
    <xf numFmtId="0" fontId="5" fillId="0" borderId="11" xfId="0" applyFont="1" applyBorder="1" applyAlignment="1">
      <alignment horizontal="left" vertical="center"/>
    </xf>
    <xf numFmtId="0" fontId="4" fillId="0" borderId="12" xfId="2" applyFont="1" applyBorder="1" applyAlignment="1">
      <alignment horizontal="left" vertical="center" wrapText="1"/>
    </xf>
    <xf numFmtId="0" fontId="4" fillId="0" borderId="13" xfId="2" applyFont="1" applyBorder="1" applyAlignment="1">
      <alignment horizontal="left" vertical="center" wrapText="1"/>
    </xf>
    <xf numFmtId="0" fontId="7" fillId="0" borderId="8" xfId="0" applyFont="1" applyBorder="1" applyAlignment="1">
      <alignment vertical="top"/>
    </xf>
    <xf numFmtId="0" fontId="6" fillId="0" borderId="11" xfId="0" applyFont="1" applyBorder="1" applyAlignment="1">
      <alignment vertical="center"/>
    </xf>
    <xf numFmtId="0" fontId="7" fillId="0" borderId="12" xfId="0" applyFont="1" applyBorder="1" applyAlignment="1">
      <alignment horizontal="center" vertical="top"/>
    </xf>
    <xf numFmtId="0" fontId="7" fillId="0" borderId="11" xfId="0" applyFont="1" applyBorder="1" applyAlignment="1">
      <alignment horizontal="center" vertical="top"/>
    </xf>
    <xf numFmtId="0" fontId="7" fillId="0" borderId="8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0" fillId="0" borderId="9" xfId="0" applyFont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/>
    </xf>
    <xf numFmtId="0" fontId="0" fillId="0" borderId="3" xfId="0" applyBorder="1"/>
    <xf numFmtId="0" fontId="0" fillId="0" borderId="16" xfId="0" applyBorder="1"/>
    <xf numFmtId="0" fontId="0" fillId="0" borderId="17" xfId="0" applyBorder="1"/>
    <xf numFmtId="0" fontId="5" fillId="0" borderId="18" xfId="0" applyFont="1" applyBorder="1" applyAlignment="1">
      <alignment horizontal="left" vertical="center"/>
    </xf>
    <xf numFmtId="0" fontId="7" fillId="0" borderId="19" xfId="0" applyFont="1" applyBorder="1" applyAlignment="1">
      <alignment vertical="center"/>
    </xf>
    <xf numFmtId="0" fontId="7" fillId="0" borderId="20" xfId="0" applyFont="1" applyBorder="1" applyAlignment="1">
      <alignment vertical="center"/>
    </xf>
    <xf numFmtId="0" fontId="6" fillId="0" borderId="18" xfId="0" applyFont="1" applyBorder="1" applyAlignment="1">
      <alignment vertical="center"/>
    </xf>
    <xf numFmtId="0" fontId="7" fillId="0" borderId="18" xfId="0" applyFont="1" applyBorder="1" applyAlignment="1">
      <alignment horizontal="center" vertical="top"/>
    </xf>
    <xf numFmtId="0" fontId="7" fillId="0" borderId="15" xfId="0" applyFont="1" applyBorder="1" applyAlignment="1">
      <alignment horizontal="center" wrapText="1"/>
    </xf>
    <xf numFmtId="0" fontId="0" fillId="0" borderId="9" xfId="0" applyBorder="1" applyAlignment="1">
      <alignment horizontal="center"/>
    </xf>
    <xf numFmtId="0" fontId="0" fillId="0" borderId="9" xfId="0" applyFont="1" applyBorder="1" applyAlignment="1">
      <alignment horizontal="center" wrapText="1"/>
    </xf>
    <xf numFmtId="0" fontId="0" fillId="2" borderId="9" xfId="0" applyFill="1" applyBorder="1"/>
    <xf numFmtId="0" fontId="0" fillId="0" borderId="9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0" fillId="0" borderId="9" xfId="0" applyFont="1" applyFill="1" applyBorder="1" applyAlignment="1">
      <alignment horizontal="center"/>
    </xf>
    <xf numFmtId="0" fontId="0" fillId="0" borderId="9" xfId="0" applyFont="1" applyFill="1" applyBorder="1" applyAlignment="1">
      <alignment horizontal="center" wrapText="1"/>
    </xf>
    <xf numFmtId="0" fontId="0" fillId="0" borderId="0" xfId="0" applyBorder="1"/>
    <xf numFmtId="0" fontId="0" fillId="0" borderId="0" xfId="0" applyBorder="1" applyAlignment="1">
      <alignment horizontal="center"/>
    </xf>
    <xf numFmtId="3" fontId="0" fillId="0" borderId="9" xfId="0" applyNumberFormat="1" applyBorder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vertical="top"/>
    </xf>
    <xf numFmtId="0" fontId="6" fillId="0" borderId="0" xfId="0" applyFont="1" applyBorder="1" applyAlignment="1">
      <alignment vertical="center"/>
    </xf>
    <xf numFmtId="0" fontId="7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 wrapText="1"/>
    </xf>
    <xf numFmtId="0" fontId="7" fillId="0" borderId="0" xfId="0" applyFont="1" applyBorder="1" applyAlignment="1">
      <alignment vertical="center"/>
    </xf>
    <xf numFmtId="0" fontId="7" fillId="0" borderId="0" xfId="0" applyFont="1" applyBorder="1" applyAlignment="1">
      <alignment horizontal="center" wrapText="1"/>
    </xf>
    <xf numFmtId="0" fontId="0" fillId="0" borderId="0" xfId="0" applyAlignment="1">
      <alignment horizontal="center"/>
    </xf>
    <xf numFmtId="0" fontId="0" fillId="2" borderId="0" xfId="0" applyFill="1"/>
    <xf numFmtId="0" fontId="5" fillId="0" borderId="0" xfId="0" applyFont="1" applyAlignment="1">
      <alignment horizontal="left" vertical="center"/>
    </xf>
    <xf numFmtId="0" fontId="7" fillId="0" borderId="0" xfId="0" applyFont="1" applyAlignment="1">
      <alignment vertical="top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wrapText="1"/>
    </xf>
    <xf numFmtId="0" fontId="0" fillId="2" borderId="9" xfId="0" applyFill="1" applyBorder="1" applyAlignment="1">
      <alignment horizontal="center"/>
    </xf>
    <xf numFmtId="0" fontId="0" fillId="2" borderId="0" xfId="0" applyFill="1" applyAlignment="1">
      <alignment horizontal="center"/>
    </xf>
    <xf numFmtId="0" fontId="0" fillId="2" borderId="10" xfId="0" applyFill="1" applyBorder="1" applyAlignment="1">
      <alignment horizontal="center"/>
    </xf>
    <xf numFmtId="0" fontId="0" fillId="0" borderId="9" xfId="0" applyBorder="1" applyAlignment="1">
      <alignment horizontal="center" vertical="center" wrapText="1"/>
    </xf>
    <xf numFmtId="0" fontId="0" fillId="0" borderId="9" xfId="0" applyBorder="1" applyAlignment="1">
      <alignment horizontal="center" wrapText="1"/>
    </xf>
    <xf numFmtId="0" fontId="7" fillId="0" borderId="19" xfId="0" applyFont="1" applyBorder="1" applyAlignment="1">
      <alignment horizontal="center" vertical="center"/>
    </xf>
    <xf numFmtId="0" fontId="0" fillId="0" borderId="9" xfId="0" applyBorder="1"/>
    <xf numFmtId="0" fontId="7" fillId="0" borderId="9" xfId="0" applyFont="1" applyBorder="1" applyAlignment="1">
      <alignment horizontal="center" wrapText="1"/>
    </xf>
    <xf numFmtId="0" fontId="0" fillId="3" borderId="9" xfId="0" applyFill="1" applyBorder="1" applyAlignment="1">
      <alignment horizontal="center"/>
    </xf>
    <xf numFmtId="0" fontId="0" fillId="4" borderId="9" xfId="0" applyFill="1" applyBorder="1" applyAlignment="1">
      <alignment horizontal="center"/>
    </xf>
    <xf numFmtId="0" fontId="0" fillId="5" borderId="9" xfId="0" applyFill="1" applyBorder="1" applyAlignment="1">
      <alignment horizontal="center"/>
    </xf>
    <xf numFmtId="0" fontId="6" fillId="2" borderId="9" xfId="0" applyFont="1" applyFill="1" applyBorder="1" applyAlignment="1">
      <alignment horizontal="center" vertical="center"/>
    </xf>
    <xf numFmtId="0" fontId="10" fillId="2" borderId="9" xfId="3" applyFont="1" applyFill="1" applyBorder="1" applyAlignment="1">
      <alignment horizontal="center" vertical="center"/>
    </xf>
    <xf numFmtId="0" fontId="11" fillId="2" borderId="9" xfId="0" applyFont="1" applyFill="1" applyBorder="1" applyAlignment="1">
      <alignment vertical="center"/>
    </xf>
    <xf numFmtId="0" fontId="3" fillId="0" borderId="16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14" fontId="6" fillId="0" borderId="11" xfId="0" applyNumberFormat="1" applyFont="1" applyBorder="1" applyAlignment="1">
      <alignment vertical="center"/>
    </xf>
    <xf numFmtId="14" fontId="7" fillId="0" borderId="20" xfId="0" applyNumberFormat="1" applyFont="1" applyBorder="1" applyAlignment="1">
      <alignment horizontal="center" vertical="center"/>
    </xf>
    <xf numFmtId="0" fontId="7" fillId="0" borderId="9" xfId="0" applyFont="1" applyBorder="1" applyAlignment="1">
      <alignment vertical="top"/>
    </xf>
    <xf numFmtId="0" fontId="7" fillId="0" borderId="23" xfId="0" applyFont="1" applyBorder="1" applyAlignment="1">
      <alignment vertical="center"/>
    </xf>
    <xf numFmtId="0" fontId="0" fillId="6" borderId="9" xfId="0" applyFill="1" applyBorder="1" applyAlignment="1">
      <alignment horizontal="center"/>
    </xf>
    <xf numFmtId="0" fontId="0" fillId="5" borderId="0" xfId="0" applyFill="1"/>
    <xf numFmtId="0" fontId="0" fillId="7" borderId="0" xfId="0" applyFill="1"/>
    <xf numFmtId="0" fontId="0" fillId="3" borderId="0" xfId="0" applyFill="1"/>
    <xf numFmtId="0" fontId="0" fillId="6" borderId="0" xfId="0" applyFill="1"/>
    <xf numFmtId="0" fontId="7" fillId="0" borderId="24" xfId="0" applyFont="1" applyBorder="1" applyAlignment="1">
      <alignment vertical="center"/>
    </xf>
    <xf numFmtId="0" fontId="7" fillId="0" borderId="19" xfId="0" applyFont="1" applyBorder="1" applyAlignment="1">
      <alignment vertical="top"/>
    </xf>
    <xf numFmtId="14" fontId="7" fillId="0" borderId="23" xfId="0" applyNumberFormat="1" applyFont="1" applyBorder="1" applyAlignment="1">
      <alignment vertical="center"/>
    </xf>
    <xf numFmtId="0" fontId="7" fillId="0" borderId="9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/>
    </xf>
    <xf numFmtId="0" fontId="11" fillId="0" borderId="9" xfId="0" applyFont="1" applyBorder="1" applyAlignment="1">
      <alignment horizontal="center" vertical="center"/>
    </xf>
    <xf numFmtId="0" fontId="11" fillId="6" borderId="9" xfId="0" applyFont="1" applyFill="1" applyBorder="1" applyAlignment="1">
      <alignment horizontal="center" vertical="center"/>
    </xf>
    <xf numFmtId="0" fontId="11" fillId="0" borderId="9" xfId="0" applyFont="1" applyBorder="1" applyAlignment="1">
      <alignment horizontal="center"/>
    </xf>
    <xf numFmtId="0" fontId="7" fillId="0" borderId="9" xfId="0" applyFont="1" applyBorder="1"/>
    <xf numFmtId="0" fontId="7" fillId="0" borderId="13" xfId="0" applyFont="1" applyBorder="1" applyAlignment="1">
      <alignment horizontal="center"/>
    </xf>
    <xf numFmtId="0" fontId="7" fillId="0" borderId="10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9" fillId="0" borderId="8" xfId="3" applyFont="1" applyBorder="1" applyAlignment="1">
      <alignment horizontal="center" vertical="center"/>
    </xf>
    <xf numFmtId="0" fontId="0" fillId="0" borderId="10" xfId="0" applyBorder="1"/>
    <xf numFmtId="0" fontId="0" fillId="0" borderId="11" xfId="0" applyBorder="1"/>
    <xf numFmtId="0" fontId="0" fillId="0" borderId="13" xfId="0" applyBorder="1"/>
    <xf numFmtId="0" fontId="7" fillId="0" borderId="11" xfId="0" applyFont="1" applyBorder="1" applyAlignment="1">
      <alignment horizontal="center"/>
    </xf>
    <xf numFmtId="0" fontId="7" fillId="0" borderId="2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21" xfId="0" applyBorder="1"/>
    <xf numFmtId="0" fontId="7" fillId="0" borderId="18" xfId="0" applyFont="1" applyBorder="1" applyAlignment="1">
      <alignment horizontal="center" vertical="center"/>
    </xf>
    <xf numFmtId="0" fontId="0" fillId="0" borderId="18" xfId="0" applyBorder="1"/>
    <xf numFmtId="0" fontId="0" fillId="0" borderId="0" xfId="0" applyAlignment="1">
      <alignment wrapText="1"/>
    </xf>
    <xf numFmtId="0" fontId="11" fillId="0" borderId="0" xfId="0" applyFont="1" applyAlignment="1">
      <alignment vertical="center"/>
    </xf>
    <xf numFmtId="0" fontId="11" fillId="2" borderId="9" xfId="0" applyFont="1" applyFill="1" applyBorder="1" applyAlignment="1">
      <alignment horizontal="center" vertical="center"/>
    </xf>
    <xf numFmtId="14" fontId="7" fillId="0" borderId="23" xfId="0" applyNumberFormat="1" applyFont="1" applyBorder="1" applyAlignment="1">
      <alignment horizontal="center" vertical="center"/>
    </xf>
    <xf numFmtId="0" fontId="11" fillId="0" borderId="9" xfId="0" applyFont="1" applyBorder="1" applyAlignment="1">
      <alignment vertical="center"/>
    </xf>
    <xf numFmtId="0" fontId="11" fillId="0" borderId="31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14" fontId="0" fillId="0" borderId="0" xfId="0" applyNumberFormat="1"/>
    <xf numFmtId="0" fontId="7" fillId="0" borderId="32" xfId="0" applyFont="1" applyBorder="1" applyAlignment="1">
      <alignment horizontal="center" vertical="center" wrapText="1"/>
    </xf>
    <xf numFmtId="14" fontId="7" fillId="0" borderId="20" xfId="0" applyNumberFormat="1" applyFont="1" applyBorder="1" applyAlignment="1">
      <alignment vertical="center"/>
    </xf>
    <xf numFmtId="14" fontId="7" fillId="0" borderId="0" xfId="0" applyNumberFormat="1" applyFont="1"/>
    <xf numFmtId="0" fontId="6" fillId="0" borderId="9" xfId="0" applyFont="1" applyBorder="1" applyAlignment="1">
      <alignment horizontal="center"/>
    </xf>
    <xf numFmtId="0" fontId="6" fillId="0" borderId="9" xfId="0" applyFont="1" applyBorder="1" applyAlignment="1">
      <alignment vertical="center"/>
    </xf>
    <xf numFmtId="0" fontId="7" fillId="2" borderId="18" xfId="0" applyFont="1" applyFill="1" applyBorder="1" applyAlignment="1">
      <alignment vertical="center"/>
    </xf>
    <xf numFmtId="0" fontId="0" fillId="2" borderId="18" xfId="0" applyFill="1" applyBorder="1"/>
    <xf numFmtId="0" fontId="7" fillId="0" borderId="9" xfId="0" applyFont="1" applyBorder="1" applyAlignment="1">
      <alignment vertical="center"/>
    </xf>
    <xf numFmtId="0" fontId="0" fillId="2" borderId="8" xfId="0" applyFill="1" applyBorder="1" applyAlignment="1">
      <alignment horizontal="center" vertical="center"/>
    </xf>
    <xf numFmtId="0" fontId="7" fillId="2" borderId="8" xfId="0" applyFont="1" applyFill="1" applyBorder="1"/>
    <xf numFmtId="0" fontId="7" fillId="2" borderId="9" xfId="0" applyFont="1" applyFill="1" applyBorder="1"/>
    <xf numFmtId="164" fontId="0" fillId="2" borderId="9" xfId="0" applyNumberFormat="1" applyFill="1" applyBorder="1" applyAlignment="1">
      <alignment horizontal="center" vertical="center"/>
    </xf>
    <xf numFmtId="0" fontId="0" fillId="2" borderId="21" xfId="0" applyFill="1" applyBorder="1" applyAlignment="1">
      <alignment horizontal="center" vertical="center"/>
    </xf>
    <xf numFmtId="0" fontId="7" fillId="2" borderId="21" xfId="0" applyFont="1" applyFill="1" applyBorder="1" applyAlignment="1">
      <alignment wrapText="1"/>
    </xf>
    <xf numFmtId="0" fontId="7" fillId="2" borderId="21" xfId="0" applyFont="1" applyFill="1" applyBorder="1"/>
    <xf numFmtId="0" fontId="0" fillId="6" borderId="9" xfId="0" applyFill="1" applyBorder="1" applyAlignment="1">
      <alignment horizontal="center" vertical="center"/>
    </xf>
    <xf numFmtId="0" fontId="0" fillId="8" borderId="9" xfId="0" applyFill="1" applyBorder="1" applyAlignment="1">
      <alignment horizontal="center" vertical="center"/>
    </xf>
    <xf numFmtId="0" fontId="11" fillId="0" borderId="10" xfId="0" applyFont="1" applyBorder="1" applyAlignment="1">
      <alignment vertical="center"/>
    </xf>
    <xf numFmtId="0" fontId="0" fillId="6" borderId="34" xfId="0" applyFill="1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7" fillId="0" borderId="8" xfId="0" applyFont="1" applyBorder="1"/>
    <xf numFmtId="20" fontId="0" fillId="0" borderId="9" xfId="0" applyNumberFormat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7" fillId="0" borderId="21" xfId="0" applyFont="1" applyBorder="1" applyAlignment="1">
      <alignment wrapText="1"/>
    </xf>
    <xf numFmtId="0" fontId="7" fillId="0" borderId="21" xfId="0" applyFont="1" applyBorder="1"/>
    <xf numFmtId="0" fontId="0" fillId="2" borderId="0" xfId="0" applyFill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164" fontId="0" fillId="0" borderId="9" xfId="0" applyNumberFormat="1" applyBorder="1" applyAlignment="1">
      <alignment horizontal="center" vertical="center"/>
    </xf>
    <xf numFmtId="0" fontId="3" fillId="0" borderId="3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5" fillId="0" borderId="10" xfId="0" applyFont="1" applyBorder="1" applyAlignment="1">
      <alignment vertical="center"/>
    </xf>
    <xf numFmtId="0" fontId="5" fillId="0" borderId="11" xfId="0" applyFont="1" applyBorder="1" applyAlignment="1">
      <alignment vertical="center"/>
    </xf>
    <xf numFmtId="0" fontId="5" fillId="0" borderId="18" xfId="0" applyFont="1" applyBorder="1" applyAlignment="1">
      <alignment vertical="center"/>
    </xf>
    <xf numFmtId="0" fontId="7" fillId="0" borderId="8" xfId="0" applyFont="1" applyBorder="1" applyAlignment="1">
      <alignment horizontal="center" vertical="top"/>
    </xf>
    <xf numFmtId="14" fontId="0" fillId="0" borderId="9" xfId="0" applyNumberFormat="1" applyBorder="1" applyAlignment="1">
      <alignment horizontal="center" vertical="center"/>
    </xf>
    <xf numFmtId="0" fontId="14" fillId="0" borderId="9" xfId="1" applyFont="1" applyBorder="1" applyAlignment="1">
      <alignment horizontal="center" vertical="center" wrapText="1"/>
    </xf>
    <xf numFmtId="0" fontId="15" fillId="0" borderId="9" xfId="1" applyFont="1" applyBorder="1" applyAlignment="1">
      <alignment vertical="center" wrapText="1"/>
    </xf>
    <xf numFmtId="0" fontId="17" fillId="0" borderId="9" xfId="1" applyFont="1" applyBorder="1" applyAlignment="1">
      <alignment horizontal="center" vertical="center" wrapText="1"/>
    </xf>
    <xf numFmtId="0" fontId="16" fillId="0" borderId="9" xfId="1" applyFont="1" applyBorder="1" applyAlignment="1">
      <alignment horizontal="center" vertical="top" wrapText="1"/>
    </xf>
    <xf numFmtId="0" fontId="9" fillId="0" borderId="9" xfId="0" applyFont="1" applyBorder="1" applyAlignment="1">
      <alignment horizontal="center" vertical="center"/>
    </xf>
    <xf numFmtId="0" fontId="9" fillId="0" borderId="9" xfId="3" applyFont="1" applyBorder="1" applyAlignment="1">
      <alignment vertical="center"/>
    </xf>
    <xf numFmtId="0" fontId="7" fillId="0" borderId="9" xfId="0" applyFont="1" applyBorder="1" applyAlignment="1">
      <alignment horizontal="center" vertical="center" wrapText="1"/>
    </xf>
    <xf numFmtId="0" fontId="0" fillId="0" borderId="9" xfId="0" applyBorder="1" applyAlignment="1">
      <alignment horizontal="center"/>
    </xf>
    <xf numFmtId="0" fontId="7" fillId="0" borderId="9" xfId="0" applyFont="1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0" fillId="0" borderId="9" xfId="0" applyBorder="1" applyAlignment="1">
      <alignment horizontal="center"/>
    </xf>
    <xf numFmtId="0" fontId="5" fillId="0" borderId="10" xfId="0" applyFont="1" applyBorder="1" applyAlignment="1">
      <alignment horizontal="left" vertical="center"/>
    </xf>
    <xf numFmtId="0" fontId="5" fillId="0" borderId="11" xfId="0" applyFont="1" applyBorder="1" applyAlignment="1">
      <alignment horizontal="left" vertical="center"/>
    </xf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 wrapText="1"/>
    </xf>
    <xf numFmtId="0" fontId="0" fillId="0" borderId="9" xfId="0" applyBorder="1" applyAlignment="1">
      <alignment horizontal="center"/>
    </xf>
    <xf numFmtId="0" fontId="5" fillId="0" borderId="10" xfId="0" applyFont="1" applyBorder="1" applyAlignment="1">
      <alignment horizontal="left" vertical="center"/>
    </xf>
    <xf numFmtId="0" fontId="5" fillId="0" borderId="11" xfId="0" applyFont="1" applyBorder="1" applyAlignment="1">
      <alignment horizontal="left" vertical="center"/>
    </xf>
    <xf numFmtId="0" fontId="7" fillId="0" borderId="8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0" fillId="0" borderId="9" xfId="0" applyBorder="1" applyAlignment="1">
      <alignment horizontal="center"/>
    </xf>
    <xf numFmtId="0" fontId="0" fillId="0" borderId="0" xfId="0" applyFont="1" applyBorder="1" applyAlignment="1">
      <alignment horizontal="center" vertical="center" wrapText="1"/>
    </xf>
    <xf numFmtId="0" fontId="0" fillId="0" borderId="0" xfId="0" applyFont="1" applyBorder="1" applyAlignment="1">
      <alignment horizontal="center" wrapText="1"/>
    </xf>
    <xf numFmtId="0" fontId="21" fillId="0" borderId="9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 wrapText="1"/>
    </xf>
    <xf numFmtId="0" fontId="0" fillId="0" borderId="9" xfId="0" applyBorder="1" applyAlignment="1">
      <alignment horizontal="center"/>
    </xf>
    <xf numFmtId="0" fontId="5" fillId="0" borderId="10" xfId="0" applyFont="1" applyBorder="1" applyAlignment="1">
      <alignment horizontal="left" vertical="center"/>
    </xf>
    <xf numFmtId="0" fontId="5" fillId="0" borderId="11" xfId="0" applyFont="1" applyBorder="1" applyAlignment="1">
      <alignment horizontal="left" vertical="center"/>
    </xf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 wrapText="1"/>
    </xf>
    <xf numFmtId="0" fontId="0" fillId="0" borderId="9" xfId="0" applyBorder="1" applyAlignment="1">
      <alignment horizontal="center"/>
    </xf>
    <xf numFmtId="0" fontId="21" fillId="2" borderId="9" xfId="0" applyFont="1" applyFill="1" applyBorder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" fillId="0" borderId="9" xfId="0" applyFont="1" applyBorder="1" applyAlignment="1">
      <alignment horizontal="center" vertical="center" wrapText="1"/>
    </xf>
    <xf numFmtId="0" fontId="0" fillId="0" borderId="9" xfId="0" applyFont="1" applyBorder="1" applyAlignment="1">
      <alignment horizontal="center"/>
    </xf>
    <xf numFmtId="0" fontId="17" fillId="0" borderId="9" xfId="1" applyFont="1" applyBorder="1" applyAlignment="1">
      <alignment horizontal="left" vertical="top" wrapText="1"/>
    </xf>
    <xf numFmtId="0" fontId="12" fillId="0" borderId="9" xfId="2" applyFont="1" applyBorder="1" applyAlignment="1">
      <alignment horizontal="center"/>
    </xf>
    <xf numFmtId="0" fontId="13" fillId="0" borderId="9" xfId="2" applyFont="1" applyBorder="1" applyAlignment="1">
      <alignment horizontal="center" vertical="center" wrapText="1"/>
    </xf>
    <xf numFmtId="0" fontId="9" fillId="0" borderId="9" xfId="3" applyFont="1" applyBorder="1" applyAlignment="1">
      <alignment horizontal="center" vertical="center"/>
    </xf>
    <xf numFmtId="0" fontId="18" fillId="0" borderId="9" xfId="3" applyFont="1" applyBorder="1" applyAlignment="1">
      <alignment horizontal="center" vertical="center"/>
    </xf>
    <xf numFmtId="0" fontId="17" fillId="0" borderId="9" xfId="1" applyFont="1" applyBorder="1" applyAlignment="1">
      <alignment horizontal="center" vertical="center" wrapText="1"/>
    </xf>
    <xf numFmtId="0" fontId="16" fillId="0" borderId="9" xfId="1" applyFont="1" applyBorder="1" applyAlignment="1">
      <alignment horizontal="justify" vertical="center" wrapText="1"/>
    </xf>
    <xf numFmtId="0" fontId="16" fillId="0" borderId="9" xfId="1" applyFont="1" applyBorder="1" applyAlignment="1">
      <alignment horizontal="left" vertical="center" wrapText="1"/>
    </xf>
    <xf numFmtId="0" fontId="16" fillId="0" borderId="9" xfId="1" applyFont="1" applyBorder="1" applyAlignment="1">
      <alignment horizontal="center" vertical="center"/>
    </xf>
    <xf numFmtId="0" fontId="15" fillId="0" borderId="9" xfId="1" applyFont="1" applyBorder="1" applyAlignment="1">
      <alignment horizontal="left" vertical="center" wrapText="1"/>
    </xf>
    <xf numFmtId="0" fontId="15" fillId="0" borderId="9" xfId="1" applyFont="1" applyBorder="1" applyAlignment="1">
      <alignment horizontal="center" vertical="center" wrapText="1"/>
    </xf>
    <xf numFmtId="0" fontId="4" fillId="0" borderId="10" xfId="2" applyFont="1" applyBorder="1" applyAlignment="1">
      <alignment horizontal="left" wrapText="1"/>
    </xf>
    <xf numFmtId="0" fontId="4" fillId="0" borderId="11" xfId="2" applyFont="1" applyBorder="1" applyAlignment="1">
      <alignment horizontal="left" wrapText="1"/>
    </xf>
    <xf numFmtId="0" fontId="4" fillId="0" borderId="13" xfId="2" applyFont="1" applyBorder="1" applyAlignment="1">
      <alignment horizontal="left" wrapText="1"/>
    </xf>
    <xf numFmtId="0" fontId="5" fillId="0" borderId="10" xfId="0" applyFont="1" applyBorder="1" applyAlignment="1">
      <alignment horizontal="left" vertical="center"/>
    </xf>
    <xf numFmtId="0" fontId="5" fillId="0" borderId="11" xfId="0" applyFont="1" applyBorder="1" applyAlignment="1">
      <alignment horizontal="left" vertical="center"/>
    </xf>
    <xf numFmtId="0" fontId="5" fillId="0" borderId="13" xfId="0" applyFont="1" applyBorder="1" applyAlignment="1">
      <alignment horizontal="left" vertical="center"/>
    </xf>
    <xf numFmtId="0" fontId="5" fillId="0" borderId="9" xfId="0" applyFont="1" applyBorder="1" applyAlignment="1">
      <alignment horizontal="left" vertical="center"/>
    </xf>
    <xf numFmtId="0" fontId="14" fillId="0" borderId="9" xfId="1" applyFont="1" applyBorder="1" applyAlignment="1">
      <alignment horizontal="left" vertical="center" wrapText="1"/>
    </xf>
    <xf numFmtId="0" fontId="14" fillId="0" borderId="9" xfId="1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4" xfId="0" applyBorder="1" applyAlignment="1">
      <alignment horizontal="center"/>
    </xf>
    <xf numFmtId="0" fontId="7" fillId="0" borderId="8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top"/>
    </xf>
    <xf numFmtId="0" fontId="7" fillId="0" borderId="11" xfId="0" applyFont="1" applyBorder="1" applyAlignment="1">
      <alignment horizontal="center" vertical="top"/>
    </xf>
    <xf numFmtId="0" fontId="7" fillId="0" borderId="18" xfId="0" applyFont="1" applyBorder="1" applyAlignment="1">
      <alignment horizontal="center" vertical="top"/>
    </xf>
    <xf numFmtId="0" fontId="7" fillId="0" borderId="10" xfId="0" applyFont="1" applyBorder="1" applyAlignment="1">
      <alignment horizontal="center"/>
    </xf>
    <xf numFmtId="0" fontId="7" fillId="0" borderId="11" xfId="0" applyFont="1" applyBorder="1" applyAlignment="1">
      <alignment horizontal="center"/>
    </xf>
    <xf numFmtId="0" fontId="7" fillId="0" borderId="13" xfId="0" applyFont="1" applyBorder="1" applyAlignment="1">
      <alignment horizontal="center"/>
    </xf>
    <xf numFmtId="0" fontId="4" fillId="0" borderId="8" xfId="2" applyFont="1" applyBorder="1" applyAlignment="1">
      <alignment horizontal="left" vertical="center" wrapText="1"/>
    </xf>
    <xf numFmtId="0" fontId="4" fillId="0" borderId="9" xfId="2" applyFont="1" applyBorder="1" applyAlignment="1">
      <alignment horizontal="left" vertical="center" wrapText="1"/>
    </xf>
    <xf numFmtId="0" fontId="4" fillId="0" borderId="12" xfId="2" applyFont="1" applyBorder="1" applyAlignment="1">
      <alignment horizontal="left" vertical="center" wrapText="1"/>
    </xf>
    <xf numFmtId="0" fontId="4" fillId="0" borderId="13" xfId="2" applyFont="1" applyBorder="1" applyAlignment="1">
      <alignment horizontal="left" vertical="center" wrapText="1"/>
    </xf>
    <xf numFmtId="0" fontId="6" fillId="0" borderId="12" xfId="0" applyFont="1" applyBorder="1" applyAlignment="1">
      <alignment horizontal="center"/>
    </xf>
    <xf numFmtId="0" fontId="6" fillId="0" borderId="11" xfId="0" applyFont="1" applyBorder="1" applyAlignment="1">
      <alignment horizontal="center"/>
    </xf>
    <xf numFmtId="0" fontId="6" fillId="0" borderId="18" xfId="0" applyFont="1" applyBorder="1" applyAlignment="1">
      <alignment horizontal="center"/>
    </xf>
    <xf numFmtId="0" fontId="9" fillId="0" borderId="8" xfId="3" applyFon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0" xfId="0" applyBorder="1"/>
    <xf numFmtId="0" fontId="0" fillId="0" borderId="11" xfId="0" applyBorder="1"/>
    <xf numFmtId="0" fontId="0" fillId="0" borderId="13" xfId="0" applyBorder="1"/>
    <xf numFmtId="0" fontId="0" fillId="0" borderId="18" xfId="0" applyBorder="1"/>
    <xf numFmtId="0" fontId="7" fillId="0" borderId="12" xfId="0" applyFont="1" applyBorder="1" applyAlignment="1">
      <alignment horizontal="center"/>
    </xf>
    <xf numFmtId="0" fontId="7" fillId="0" borderId="10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18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wrapText="1"/>
    </xf>
    <xf numFmtId="0" fontId="7" fillId="0" borderId="21" xfId="0" applyFont="1" applyBorder="1" applyAlignment="1">
      <alignment horizontal="center" vertical="center"/>
    </xf>
    <xf numFmtId="0" fontId="9" fillId="0" borderId="25" xfId="3" applyFont="1" applyBorder="1" applyAlignment="1">
      <alignment horizontal="center" vertical="center"/>
    </xf>
    <xf numFmtId="0" fontId="9" fillId="0" borderId="26" xfId="3" applyFont="1" applyBorder="1" applyAlignment="1">
      <alignment horizontal="center" vertical="center"/>
    </xf>
    <xf numFmtId="14" fontId="0" fillId="0" borderId="27" xfId="0" applyNumberFormat="1" applyBorder="1" applyAlignment="1">
      <alignment horizontal="left"/>
    </xf>
    <xf numFmtId="0" fontId="0" fillId="0" borderId="28" xfId="0" applyBorder="1" applyAlignment="1">
      <alignment horizontal="left"/>
    </xf>
    <xf numFmtId="0" fontId="0" fillId="0" borderId="29" xfId="0" applyBorder="1" applyAlignment="1">
      <alignment horizontal="left"/>
    </xf>
    <xf numFmtId="0" fontId="0" fillId="0" borderId="27" xfId="0" applyBorder="1"/>
    <xf numFmtId="0" fontId="0" fillId="0" borderId="28" xfId="0" applyBorder="1"/>
    <xf numFmtId="0" fontId="0" fillId="0" borderId="29" xfId="0" applyBorder="1"/>
    <xf numFmtId="0" fontId="0" fillId="0" borderId="30" xfId="0" applyBorder="1"/>
    <xf numFmtId="0" fontId="3" fillId="0" borderId="2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3" fillId="0" borderId="16" xfId="0" applyFont="1" applyBorder="1" applyAlignment="1">
      <alignment vertical="center"/>
    </xf>
    <xf numFmtId="0" fontId="3" fillId="0" borderId="5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3" fillId="0" borderId="17" xfId="0" applyFont="1" applyBorder="1" applyAlignment="1">
      <alignment vertical="center"/>
    </xf>
    <xf numFmtId="0" fontId="0" fillId="0" borderId="1" xfId="0" applyBorder="1"/>
    <xf numFmtId="0" fontId="0" fillId="0" borderId="4" xfId="0" applyBorder="1"/>
    <xf numFmtId="0" fontId="9" fillId="0" borderId="10" xfId="3" applyFont="1" applyBorder="1" applyAlignment="1">
      <alignment horizontal="center" vertical="center"/>
    </xf>
    <xf numFmtId="0" fontId="9" fillId="0" borderId="11" xfId="3" applyFont="1" applyBorder="1" applyAlignment="1">
      <alignment horizontal="center" vertical="center"/>
    </xf>
    <xf numFmtId="0" fontId="9" fillId="0" borderId="13" xfId="3" applyFont="1" applyBorder="1" applyAlignment="1">
      <alignment horizontal="center" vertical="center"/>
    </xf>
    <xf numFmtId="14" fontId="0" fillId="0" borderId="27" xfId="0" applyNumberFormat="1" applyBorder="1" applyAlignment="1">
      <alignment horizontal="left" vertical="center"/>
    </xf>
    <xf numFmtId="0" fontId="0" fillId="0" borderId="28" xfId="0" applyBorder="1" applyAlignment="1">
      <alignment horizontal="left" vertical="center"/>
    </xf>
    <xf numFmtId="0" fontId="0" fillId="0" borderId="29" xfId="0" applyBorder="1" applyAlignment="1">
      <alignment horizontal="left" vertical="center"/>
    </xf>
    <xf numFmtId="14" fontId="0" fillId="0" borderId="9" xfId="0" applyNumberFormat="1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9" xfId="0" applyBorder="1"/>
    <xf numFmtId="0" fontId="7" fillId="0" borderId="12" xfId="0" applyFont="1" applyBorder="1" applyAlignment="1">
      <alignment horizontal="center" vertic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8" xfId="0" applyBorder="1" applyAlignment="1">
      <alignment horizontal="center"/>
    </xf>
    <xf numFmtId="14" fontId="0" fillId="0" borderId="27" xfId="0" applyNumberFormat="1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6" fillId="0" borderId="12" xfId="0" applyFont="1" applyBorder="1"/>
    <xf numFmtId="0" fontId="6" fillId="0" borderId="11" xfId="0" applyFont="1" applyBorder="1"/>
    <xf numFmtId="0" fontId="6" fillId="0" borderId="18" xfId="0" applyFont="1" applyBorder="1"/>
    <xf numFmtId="0" fontId="7" fillId="0" borderId="12" xfId="0" applyFont="1" applyBorder="1" applyAlignment="1">
      <alignment vertical="top"/>
    </xf>
    <xf numFmtId="0" fontId="7" fillId="0" borderId="11" xfId="0" applyFont="1" applyBorder="1" applyAlignment="1">
      <alignment vertical="top"/>
    </xf>
    <xf numFmtId="0" fontId="7" fillId="0" borderId="18" xfId="0" applyFont="1" applyBorder="1" applyAlignment="1">
      <alignment vertical="top"/>
    </xf>
    <xf numFmtId="0" fontId="4" fillId="0" borderId="12" xfId="2" applyFont="1" applyBorder="1" applyAlignment="1">
      <alignment vertical="center" wrapText="1"/>
    </xf>
    <xf numFmtId="0" fontId="4" fillId="0" borderId="13" xfId="2" applyFont="1" applyBorder="1" applyAlignment="1">
      <alignment vertical="center" wrapText="1"/>
    </xf>
    <xf numFmtId="0" fontId="4" fillId="0" borderId="8" xfId="2" applyFont="1" applyBorder="1" applyAlignment="1">
      <alignment vertical="center" wrapText="1"/>
    </xf>
    <xf numFmtId="0" fontId="4" fillId="0" borderId="9" xfId="2" applyFont="1" applyBorder="1" applyAlignment="1">
      <alignment vertical="center" wrapText="1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 wrapText="1"/>
    </xf>
    <xf numFmtId="0" fontId="7" fillId="0" borderId="32" xfId="0" applyFont="1" applyBorder="1" applyAlignment="1">
      <alignment horizontal="center" vertical="center" wrapText="1"/>
    </xf>
    <xf numFmtId="0" fontId="9" fillId="2" borderId="8" xfId="3" applyFont="1" applyFill="1" applyBorder="1" applyAlignment="1">
      <alignment horizontal="center" vertical="center"/>
    </xf>
    <xf numFmtId="0" fontId="9" fillId="2" borderId="9" xfId="3" applyFont="1" applyFill="1" applyBorder="1" applyAlignment="1">
      <alignment horizontal="center" vertical="center"/>
    </xf>
    <xf numFmtId="0" fontId="0" fillId="2" borderId="10" xfId="0" applyFill="1" applyBorder="1"/>
    <xf numFmtId="0" fontId="0" fillId="2" borderId="11" xfId="0" applyFill="1" applyBorder="1"/>
    <xf numFmtId="0" fontId="0" fillId="2" borderId="13" xfId="0" applyFill="1" applyBorder="1"/>
    <xf numFmtId="0" fontId="0" fillId="2" borderId="18" xfId="0" applyFill="1" applyBorder="1"/>
    <xf numFmtId="0" fontId="9" fillId="2" borderId="25" xfId="3" applyFont="1" applyFill="1" applyBorder="1" applyAlignment="1">
      <alignment horizontal="center" vertical="center"/>
    </xf>
    <xf numFmtId="0" fontId="9" fillId="2" borderId="26" xfId="3" applyFont="1" applyFill="1" applyBorder="1" applyAlignment="1">
      <alignment horizontal="center" vertical="center"/>
    </xf>
    <xf numFmtId="14" fontId="0" fillId="2" borderId="27" xfId="0" applyNumberFormat="1" applyFill="1" applyBorder="1" applyAlignment="1">
      <alignment horizontal="left" vertical="center"/>
    </xf>
    <xf numFmtId="0" fontId="0" fillId="2" borderId="28" xfId="0" applyFill="1" applyBorder="1" applyAlignment="1">
      <alignment horizontal="left" vertical="center"/>
    </xf>
    <xf numFmtId="0" fontId="0" fillId="2" borderId="29" xfId="0" applyFill="1" applyBorder="1" applyAlignment="1">
      <alignment horizontal="left" vertical="center"/>
    </xf>
    <xf numFmtId="0" fontId="0" fillId="2" borderId="27" xfId="0" applyFill="1" applyBorder="1"/>
    <xf numFmtId="0" fontId="0" fillId="2" borderId="28" xfId="0" applyFill="1" applyBorder="1"/>
    <xf numFmtId="0" fontId="0" fillId="2" borderId="29" xfId="0" applyFill="1" applyBorder="1"/>
    <xf numFmtId="0" fontId="0" fillId="2" borderId="30" xfId="0" applyFill="1" applyBorder="1"/>
    <xf numFmtId="0" fontId="7" fillId="2" borderId="10" xfId="0" applyFont="1" applyFill="1" applyBorder="1" applyAlignment="1">
      <alignment horizontal="center" vertical="center"/>
    </xf>
    <xf numFmtId="0" fontId="7" fillId="2" borderId="11" xfId="0" applyFont="1" applyFill="1" applyBorder="1" applyAlignment="1">
      <alignment horizontal="center" vertical="center"/>
    </xf>
    <xf numFmtId="0" fontId="7" fillId="2" borderId="13" xfId="0" applyFont="1" applyFill="1" applyBorder="1" applyAlignment="1">
      <alignment horizontal="center" vertical="center"/>
    </xf>
    <xf numFmtId="0" fontId="7" fillId="2" borderId="18" xfId="0" applyFont="1" applyFill="1" applyBorder="1" applyAlignment="1">
      <alignment horizontal="center" vertical="center"/>
    </xf>
    <xf numFmtId="0" fontId="7" fillId="2" borderId="12" xfId="0" applyFont="1" applyFill="1" applyBorder="1" applyAlignment="1">
      <alignment horizontal="center"/>
    </xf>
    <xf numFmtId="0" fontId="7" fillId="2" borderId="13" xfId="0" applyFont="1" applyFill="1" applyBorder="1" applyAlignment="1">
      <alignment horizontal="center"/>
    </xf>
    <xf numFmtId="14" fontId="0" fillId="2" borderId="9" xfId="0" applyNumberFormat="1" applyFill="1" applyBorder="1" applyAlignment="1">
      <alignment horizontal="left" vertical="center"/>
    </xf>
    <xf numFmtId="0" fontId="0" fillId="2" borderId="9" xfId="0" applyFill="1" applyBorder="1" applyAlignment="1">
      <alignment horizontal="left" vertical="center"/>
    </xf>
    <xf numFmtId="0" fontId="0" fillId="2" borderId="9" xfId="0" applyFill="1" applyBorder="1"/>
    <xf numFmtId="0" fontId="9" fillId="2" borderId="0" xfId="3" applyFont="1" applyFill="1" applyAlignment="1">
      <alignment horizontal="center" vertical="center"/>
    </xf>
    <xf numFmtId="14" fontId="0" fillId="2" borderId="0" xfId="0" applyNumberFormat="1" applyFill="1" applyAlignment="1">
      <alignment horizontal="left" vertical="center"/>
    </xf>
    <xf numFmtId="0" fontId="0" fillId="2" borderId="0" xfId="0" applyFill="1" applyAlignment="1">
      <alignment horizontal="left" vertical="center"/>
    </xf>
    <xf numFmtId="0" fontId="0" fillId="2" borderId="0" xfId="0" applyFill="1"/>
    <xf numFmtId="0" fontId="7" fillId="2" borderId="0" xfId="0" applyFont="1" applyFill="1" applyAlignment="1">
      <alignment horizontal="center"/>
    </xf>
    <xf numFmtId="0" fontId="7" fillId="2" borderId="0" xfId="0" applyFont="1" applyFill="1" applyAlignment="1">
      <alignment horizontal="center" vertical="center"/>
    </xf>
    <xf numFmtId="0" fontId="7" fillId="2" borderId="9" xfId="0" applyFont="1" applyFill="1" applyBorder="1" applyAlignment="1">
      <alignment horizontal="center"/>
    </xf>
    <xf numFmtId="0" fontId="7" fillId="2" borderId="9" xfId="0" applyFont="1" applyFill="1" applyBorder="1" applyAlignment="1">
      <alignment horizontal="center" vertical="center"/>
    </xf>
    <xf numFmtId="14" fontId="7" fillId="0" borderId="11" xfId="0" applyNumberFormat="1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7" fillId="0" borderId="21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10" fillId="2" borderId="9" xfId="3" applyFont="1" applyFill="1" applyBorder="1" applyAlignment="1">
      <alignment horizontal="center" vertical="center"/>
    </xf>
    <xf numFmtId="0" fontId="11" fillId="2" borderId="9" xfId="0" applyFont="1" applyFill="1" applyBorder="1" applyAlignment="1">
      <alignment vertical="center"/>
    </xf>
    <xf numFmtId="0" fontId="10" fillId="2" borderId="15" xfId="3" applyFont="1" applyFill="1" applyBorder="1" applyAlignment="1">
      <alignment horizontal="center" vertical="center"/>
    </xf>
    <xf numFmtId="14" fontId="11" fillId="2" borderId="15" xfId="0" applyNumberFormat="1" applyFont="1" applyFill="1" applyBorder="1" applyAlignment="1">
      <alignment horizontal="left" vertical="center"/>
    </xf>
    <xf numFmtId="0" fontId="11" fillId="2" borderId="15" xfId="0" applyFont="1" applyFill="1" applyBorder="1" applyAlignment="1">
      <alignment horizontal="left" vertical="center"/>
    </xf>
    <xf numFmtId="0" fontId="11" fillId="2" borderId="15" xfId="0" applyFont="1" applyFill="1" applyBorder="1" applyAlignment="1">
      <alignment vertical="center"/>
    </xf>
    <xf numFmtId="14" fontId="11" fillId="2" borderId="9" xfId="0" applyNumberFormat="1" applyFont="1" applyFill="1" applyBorder="1" applyAlignment="1">
      <alignment horizontal="left" vertical="center"/>
    </xf>
    <xf numFmtId="0" fontId="11" fillId="2" borderId="9" xfId="0" applyFont="1" applyFill="1" applyBorder="1" applyAlignment="1">
      <alignment horizontal="left" vertical="center"/>
    </xf>
    <xf numFmtId="0" fontId="6" fillId="2" borderId="9" xfId="0" applyFont="1" applyFill="1" applyBorder="1" applyAlignment="1">
      <alignment horizontal="center" vertical="center"/>
    </xf>
    <xf numFmtId="14" fontId="0" fillId="0" borderId="11" xfId="0" applyNumberFormat="1" applyBorder="1" applyAlignment="1">
      <alignment horizontal="center"/>
    </xf>
    <xf numFmtId="14" fontId="7" fillId="0" borderId="10" xfId="0" applyNumberFormat="1" applyFont="1" applyBorder="1" applyAlignment="1">
      <alignment horizontal="center" vertical="center"/>
    </xf>
    <xf numFmtId="14" fontId="7" fillId="0" borderId="13" xfId="0" applyNumberFormat="1" applyFont="1" applyBorder="1" applyAlignment="1">
      <alignment horizontal="center" vertical="center"/>
    </xf>
    <xf numFmtId="0" fontId="7" fillId="0" borderId="10" xfId="0" applyFont="1" applyBorder="1" applyAlignment="1">
      <alignment horizontal="center" wrapText="1"/>
    </xf>
    <xf numFmtId="0" fontId="7" fillId="0" borderId="11" xfId="0" applyFont="1" applyBorder="1" applyAlignment="1">
      <alignment horizontal="center" wrapText="1"/>
    </xf>
    <xf numFmtId="0" fontId="7" fillId="0" borderId="13" xfId="0" applyFont="1" applyBorder="1" applyAlignment="1">
      <alignment horizontal="center" wrapText="1"/>
    </xf>
    <xf numFmtId="0" fontId="10" fillId="2" borderId="10" xfId="3" applyFont="1" applyFill="1" applyBorder="1" applyAlignment="1">
      <alignment horizontal="center" vertical="center"/>
    </xf>
    <xf numFmtId="0" fontId="10" fillId="2" borderId="13" xfId="3" applyFont="1" applyFill="1" applyBorder="1" applyAlignment="1">
      <alignment horizontal="center" vertical="center"/>
    </xf>
    <xf numFmtId="0" fontId="11" fillId="2" borderId="10" xfId="0" applyFont="1" applyFill="1" applyBorder="1" applyAlignment="1">
      <alignment horizontal="center" vertical="center"/>
    </xf>
    <xf numFmtId="0" fontId="11" fillId="2" borderId="11" xfId="0" applyFont="1" applyFill="1" applyBorder="1" applyAlignment="1">
      <alignment horizontal="center" vertical="center"/>
    </xf>
    <xf numFmtId="0" fontId="11" fillId="2" borderId="13" xfId="0" applyFont="1" applyFill="1" applyBorder="1" applyAlignment="1">
      <alignment horizontal="center" vertical="center"/>
    </xf>
    <xf numFmtId="0" fontId="6" fillId="2" borderId="10" xfId="0" applyFont="1" applyFill="1" applyBorder="1" applyAlignment="1">
      <alignment horizontal="center" vertical="center"/>
    </xf>
    <xf numFmtId="0" fontId="6" fillId="2" borderId="11" xfId="0" applyFont="1" applyFill="1" applyBorder="1" applyAlignment="1">
      <alignment horizontal="center" vertical="center"/>
    </xf>
    <xf numFmtId="0" fontId="6" fillId="2" borderId="13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14" fontId="6" fillId="0" borderId="10" xfId="0" applyNumberFormat="1" applyFont="1" applyBorder="1" applyAlignment="1">
      <alignment horizontal="center" vertical="center"/>
    </xf>
    <xf numFmtId="14" fontId="6" fillId="0" borderId="11" xfId="0" applyNumberFormat="1" applyFont="1" applyBorder="1" applyAlignment="1">
      <alignment horizontal="center" vertical="center"/>
    </xf>
    <xf numFmtId="14" fontId="6" fillId="0" borderId="13" xfId="0" applyNumberFormat="1" applyFont="1" applyBorder="1" applyAlignment="1">
      <alignment horizontal="center" vertical="center"/>
    </xf>
    <xf numFmtId="14" fontId="6" fillId="0" borderId="18" xfId="0" applyNumberFormat="1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top"/>
    </xf>
    <xf numFmtId="14" fontId="6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wrapText="1"/>
    </xf>
    <xf numFmtId="0" fontId="4" fillId="0" borderId="0" xfId="2" applyFont="1" applyAlignment="1">
      <alignment horizontal="left" vertical="center" wrapText="1"/>
    </xf>
    <xf numFmtId="0" fontId="6" fillId="0" borderId="0" xfId="0" applyFont="1" applyAlignment="1">
      <alignment horizontal="center"/>
    </xf>
    <xf numFmtId="0" fontId="7" fillId="0" borderId="10" xfId="0" applyFont="1" applyBorder="1" applyAlignment="1">
      <alignment horizontal="left" vertical="center"/>
    </xf>
    <xf numFmtId="0" fontId="7" fillId="0" borderId="11" xfId="0" applyFont="1" applyBorder="1" applyAlignment="1">
      <alignment horizontal="left" vertical="center"/>
    </xf>
    <xf numFmtId="0" fontId="7" fillId="0" borderId="18" xfId="0" applyFont="1" applyBorder="1" applyAlignment="1">
      <alignment horizontal="left" vertical="center"/>
    </xf>
    <xf numFmtId="0" fontId="0" fillId="0" borderId="0" xfId="0" applyBorder="1" applyAlignment="1">
      <alignment horizontal="center"/>
    </xf>
    <xf numFmtId="0" fontId="7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0" fillId="0" borderId="9" xfId="0" applyBorder="1" applyAlignment="1">
      <alignment horizontal="center"/>
    </xf>
    <xf numFmtId="0" fontId="4" fillId="0" borderId="0" xfId="2" applyFont="1" applyBorder="1" applyAlignment="1">
      <alignment horizontal="left" vertical="center" wrapText="1"/>
    </xf>
    <xf numFmtId="0" fontId="7" fillId="2" borderId="0" xfId="0" applyFont="1" applyFill="1" applyBorder="1" applyAlignment="1">
      <alignment horizontal="center"/>
    </xf>
    <xf numFmtId="0" fontId="7" fillId="0" borderId="0" xfId="0" applyFont="1" applyBorder="1" applyAlignment="1">
      <alignment horizontal="center" vertical="top"/>
    </xf>
    <xf numFmtId="14" fontId="6" fillId="0" borderId="0" xfId="0" applyNumberFormat="1" applyFont="1" applyBorder="1" applyAlignment="1">
      <alignment horizontal="center" vertical="center"/>
    </xf>
    <xf numFmtId="0" fontId="7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center" wrapText="1"/>
    </xf>
    <xf numFmtId="0" fontId="6" fillId="0" borderId="0" xfId="0" applyFont="1" applyBorder="1" applyAlignment="1">
      <alignment horizontal="center"/>
    </xf>
    <xf numFmtId="0" fontId="1" fillId="0" borderId="9" xfId="4" applyBorder="1" applyAlignment="1">
      <alignment horizontal="center"/>
    </xf>
    <xf numFmtId="0" fontId="1" fillId="2" borderId="9" xfId="4" applyFill="1" applyBorder="1" applyAlignment="1">
      <alignment horizontal="center"/>
    </xf>
  </cellXfs>
  <cellStyles count="5">
    <cellStyle name="Normal" xfId="0" builtinId="0"/>
    <cellStyle name="Normal 10" xfId="1"/>
    <cellStyle name="Normal 2" xfId="4"/>
    <cellStyle name="Normal 2 2" xfId="2"/>
    <cellStyle name="Normal_Pol07 - QAQC Plan lab forms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jpeg"/><Relationship Id="rId4" Type="http://schemas.openxmlformats.org/officeDocument/2006/relationships/image" Target="../media/image4.png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jpeg"/><Relationship Id="rId2" Type="http://schemas.openxmlformats.org/officeDocument/2006/relationships/image" Target="../media/image3.png"/><Relationship Id="rId1" Type="http://schemas.openxmlformats.org/officeDocument/2006/relationships/image" Target="../media/image4.png"/><Relationship Id="rId4" Type="http://schemas.openxmlformats.org/officeDocument/2006/relationships/image" Target="../media/image1.jpe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image" Target="../media/image3.png"/><Relationship Id="rId1" Type="http://schemas.openxmlformats.org/officeDocument/2006/relationships/image" Target="../media/image4.png"/><Relationship Id="rId4" Type="http://schemas.openxmlformats.org/officeDocument/2006/relationships/image" Target="../media/image1.jpeg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image" Target="../media/image3.png"/><Relationship Id="rId1" Type="http://schemas.openxmlformats.org/officeDocument/2006/relationships/image" Target="../media/image4.png"/><Relationship Id="rId4" Type="http://schemas.openxmlformats.org/officeDocument/2006/relationships/image" Target="../media/image1.jpe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image" Target="../media/image3.png"/><Relationship Id="rId1" Type="http://schemas.openxmlformats.org/officeDocument/2006/relationships/image" Target="../media/image4.png"/><Relationship Id="rId5" Type="http://schemas.openxmlformats.org/officeDocument/2006/relationships/image" Target="../media/image1.jpeg"/><Relationship Id="rId4" Type="http://schemas.openxmlformats.org/officeDocument/2006/relationships/image" Target="../media/image9.jpeg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image" Target="../media/image3.png"/><Relationship Id="rId1" Type="http://schemas.openxmlformats.org/officeDocument/2006/relationships/image" Target="../media/image4.png"/><Relationship Id="rId4" Type="http://schemas.openxmlformats.org/officeDocument/2006/relationships/image" Target="../media/image10.jpe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image" Target="../media/image3.png"/><Relationship Id="rId1" Type="http://schemas.openxmlformats.org/officeDocument/2006/relationships/image" Target="../media/image4.png"/><Relationship Id="rId4" Type="http://schemas.openxmlformats.org/officeDocument/2006/relationships/image" Target="../media/image10.jpeg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image" Target="../media/image3.png"/><Relationship Id="rId1" Type="http://schemas.openxmlformats.org/officeDocument/2006/relationships/image" Target="../media/image4.png"/><Relationship Id="rId4" Type="http://schemas.openxmlformats.org/officeDocument/2006/relationships/image" Target="../media/image10.jpeg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image" Target="../media/image3.png"/><Relationship Id="rId1" Type="http://schemas.openxmlformats.org/officeDocument/2006/relationships/image" Target="../media/image4.png"/><Relationship Id="rId4" Type="http://schemas.openxmlformats.org/officeDocument/2006/relationships/image" Target="../media/image10.jpeg"/></Relationships>
</file>

<file path=xl/drawings/_rels/drawing1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image" Target="../media/image3.png"/><Relationship Id="rId1" Type="http://schemas.openxmlformats.org/officeDocument/2006/relationships/image" Target="../media/image4.png"/><Relationship Id="rId4" Type="http://schemas.openxmlformats.org/officeDocument/2006/relationships/image" Target="../media/image10.jpeg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image" Target="../media/image3.png"/><Relationship Id="rId1" Type="http://schemas.openxmlformats.org/officeDocument/2006/relationships/image" Target="../media/image4.png"/><Relationship Id="rId4" Type="http://schemas.openxmlformats.org/officeDocument/2006/relationships/image" Target="../media/image10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image" Target="../media/image3.png"/><Relationship Id="rId1" Type="http://schemas.openxmlformats.org/officeDocument/2006/relationships/image" Target="../media/image4.png"/><Relationship Id="rId4" Type="http://schemas.openxmlformats.org/officeDocument/2006/relationships/image" Target="../media/image1.jpeg"/></Relationships>
</file>

<file path=xl/drawings/_rels/drawing20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image" Target="../media/image3.png"/><Relationship Id="rId1" Type="http://schemas.openxmlformats.org/officeDocument/2006/relationships/image" Target="../media/image4.png"/><Relationship Id="rId4" Type="http://schemas.openxmlformats.org/officeDocument/2006/relationships/image" Target="../media/image10.jpeg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image" Target="../media/image3.png"/><Relationship Id="rId1" Type="http://schemas.openxmlformats.org/officeDocument/2006/relationships/image" Target="../media/image4.png"/><Relationship Id="rId4" Type="http://schemas.openxmlformats.org/officeDocument/2006/relationships/image" Target="../media/image10.jpeg"/></Relationships>
</file>

<file path=xl/drawings/_rels/drawing2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image" Target="../media/image3.png"/><Relationship Id="rId1" Type="http://schemas.openxmlformats.org/officeDocument/2006/relationships/image" Target="../media/image4.png"/><Relationship Id="rId4" Type="http://schemas.openxmlformats.org/officeDocument/2006/relationships/image" Target="../media/image10.jpeg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image" Target="../media/image3.png"/><Relationship Id="rId1" Type="http://schemas.openxmlformats.org/officeDocument/2006/relationships/image" Target="../media/image4.png"/><Relationship Id="rId4" Type="http://schemas.openxmlformats.org/officeDocument/2006/relationships/image" Target="../media/image10.jpeg"/></Relationships>
</file>

<file path=xl/drawings/_rels/drawing2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image" Target="../media/image3.png"/><Relationship Id="rId1" Type="http://schemas.openxmlformats.org/officeDocument/2006/relationships/image" Target="../media/image4.png"/><Relationship Id="rId4" Type="http://schemas.openxmlformats.org/officeDocument/2006/relationships/image" Target="../media/image10.jpe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image" Target="../media/image3.png"/><Relationship Id="rId1" Type="http://schemas.openxmlformats.org/officeDocument/2006/relationships/image" Target="../media/image4.png"/><Relationship Id="rId4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image" Target="../media/image3.png"/><Relationship Id="rId1" Type="http://schemas.openxmlformats.org/officeDocument/2006/relationships/image" Target="../media/image4.png"/><Relationship Id="rId5" Type="http://schemas.openxmlformats.org/officeDocument/2006/relationships/image" Target="../media/image5.jpeg"/><Relationship Id="rId4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image" Target="../media/image3.png"/><Relationship Id="rId1" Type="http://schemas.openxmlformats.org/officeDocument/2006/relationships/image" Target="../media/image4.png"/><Relationship Id="rId4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image" Target="../media/image3.png"/><Relationship Id="rId1" Type="http://schemas.openxmlformats.org/officeDocument/2006/relationships/image" Target="../media/image4.png"/><Relationship Id="rId4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image" Target="../media/image3.png"/><Relationship Id="rId1" Type="http://schemas.openxmlformats.org/officeDocument/2006/relationships/image" Target="../media/image4.png"/><Relationship Id="rId4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jpeg"/><Relationship Id="rId2" Type="http://schemas.openxmlformats.org/officeDocument/2006/relationships/image" Target="../media/image3.png"/><Relationship Id="rId1" Type="http://schemas.openxmlformats.org/officeDocument/2006/relationships/image" Target="../media/image4.png"/><Relationship Id="rId6" Type="http://schemas.openxmlformats.org/officeDocument/2006/relationships/image" Target="../media/image8.jpeg"/><Relationship Id="rId5" Type="http://schemas.openxmlformats.org/officeDocument/2006/relationships/image" Target="../media/image7.jpeg"/><Relationship Id="rId4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jpeg"/><Relationship Id="rId2" Type="http://schemas.openxmlformats.org/officeDocument/2006/relationships/image" Target="../media/image3.png"/><Relationship Id="rId1" Type="http://schemas.openxmlformats.org/officeDocument/2006/relationships/image" Target="../media/image4.png"/><Relationship Id="rId4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1046629</xdr:colOff>
      <xdr:row>0</xdr:row>
      <xdr:rowOff>179855</xdr:rowOff>
    </xdr:from>
    <xdr:to>
      <xdr:col>6</xdr:col>
      <xdr:colOff>1947643</xdr:colOff>
      <xdr:row>2</xdr:row>
      <xdr:rowOff>532280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856730" y="179705"/>
          <a:ext cx="901065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276225</xdr:colOff>
      <xdr:row>0</xdr:row>
      <xdr:rowOff>180976</xdr:rowOff>
    </xdr:from>
    <xdr:to>
      <xdr:col>6</xdr:col>
      <xdr:colOff>1177923</xdr:colOff>
      <xdr:row>2</xdr:row>
      <xdr:rowOff>537634</xdr:rowOff>
    </xdr:to>
    <xdr:pic>
      <xdr:nvPicPr>
        <xdr:cNvPr id="3" name="Picture 2" descr="Image result for MEDHAJ LOGO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086475" y="180975"/>
          <a:ext cx="901065" cy="737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361950</xdr:colOff>
      <xdr:row>0</xdr:row>
      <xdr:rowOff>142875</xdr:rowOff>
    </xdr:from>
    <xdr:to>
      <xdr:col>1</xdr:col>
      <xdr:colOff>1117600</xdr:colOff>
      <xdr:row>2</xdr:row>
      <xdr:rowOff>400050</xdr:rowOff>
    </xdr:to>
    <xdr:pic>
      <xdr:nvPicPr>
        <xdr:cNvPr id="4" name="Picture 3" descr="Image result for jal jeevan mission logo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62025" y="142875"/>
          <a:ext cx="755650" cy="638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0</xdr:row>
      <xdr:rowOff>133350</xdr:rowOff>
    </xdr:from>
    <xdr:to>
      <xdr:col>1</xdr:col>
      <xdr:colOff>266700</xdr:colOff>
      <xdr:row>2</xdr:row>
      <xdr:rowOff>400050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PicPr/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80975" y="133350"/>
          <a:ext cx="685800" cy="647700"/>
        </a:xfrm>
        <a:prstGeom prst="rect">
          <a:avLst/>
        </a:prstGeom>
        <a:noFill/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140390</xdr:colOff>
      <xdr:row>1</xdr:row>
      <xdr:rowOff>69988</xdr:rowOff>
    </xdr:from>
    <xdr:ext cx="485775" cy="647700"/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9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40410" y="269875"/>
          <a:ext cx="485775" cy="647700"/>
        </a:xfrm>
        <a:prstGeom prst="rect">
          <a:avLst/>
        </a:prstGeom>
        <a:noFill/>
      </xdr:spPr>
    </xdr:pic>
    <xdr:clientData/>
  </xdr:oneCellAnchor>
  <xdr:oneCellAnchor>
    <xdr:from>
      <xdr:col>12</xdr:col>
      <xdr:colOff>307975</xdr:colOff>
      <xdr:row>1</xdr:row>
      <xdr:rowOff>104775</xdr:rowOff>
    </xdr:from>
    <xdr:ext cx="574674" cy="638175"/>
    <xdr:pic>
      <xdr:nvPicPr>
        <xdr:cNvPr id="3" name="Picture 2" descr="Image result for jal jeevan mission logo">
          <a:extLst>
            <a:ext uri="{FF2B5EF4-FFF2-40B4-BE49-F238E27FC236}">
              <a16:creationId xmlns:a16="http://schemas.microsoft.com/office/drawing/2014/main" xmlns="" id="{00000000-0008-0000-09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270875" y="304800"/>
          <a:ext cx="574040" cy="638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466726</xdr:colOff>
      <xdr:row>1</xdr:row>
      <xdr:rowOff>76200</xdr:rowOff>
    </xdr:from>
    <xdr:ext cx="790574" cy="737658"/>
    <xdr:pic>
      <xdr:nvPicPr>
        <xdr:cNvPr id="4" name="Picture 3" descr="Image result for MEDHAJ LOGO">
          <a:extLst>
            <a:ext uri="{FF2B5EF4-FFF2-40B4-BE49-F238E27FC236}">
              <a16:creationId xmlns:a16="http://schemas.microsoft.com/office/drawing/2014/main" xmlns="" id="{00000000-0008-0000-09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91275" y="276225"/>
          <a:ext cx="790575" cy="737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628650</xdr:colOff>
      <xdr:row>1</xdr:row>
      <xdr:rowOff>19050</xdr:rowOff>
    </xdr:from>
    <xdr:ext cx="3862" cy="733425"/>
    <xdr:pic>
      <xdr:nvPicPr>
        <xdr:cNvPr id="5" name="Picture 4">
          <a:extLst>
            <a:ext uri="{FF2B5EF4-FFF2-40B4-BE49-F238E27FC236}">
              <a16:creationId xmlns:a16="http://schemas.microsoft.com/office/drawing/2014/main" xmlns="" id="{00000000-0008-0000-09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53200" y="219075"/>
          <a:ext cx="3810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0</xdr:row>
      <xdr:rowOff>28575</xdr:rowOff>
    </xdr:from>
    <xdr:to>
      <xdr:col>0</xdr:col>
      <xdr:colOff>609600</xdr:colOff>
      <xdr:row>3</xdr:row>
      <xdr:rowOff>104775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A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3825" y="28575"/>
          <a:ext cx="485775" cy="962025"/>
        </a:xfrm>
        <a:prstGeom prst="rect">
          <a:avLst/>
        </a:prstGeom>
        <a:noFill/>
      </xdr:spPr>
    </xdr:pic>
    <xdr:clientData/>
  </xdr:twoCellAnchor>
  <xdr:twoCellAnchor editAs="oneCell">
    <xdr:from>
      <xdr:col>11</xdr:col>
      <xdr:colOff>384175</xdr:colOff>
      <xdr:row>0</xdr:row>
      <xdr:rowOff>57150</xdr:rowOff>
    </xdr:from>
    <xdr:to>
      <xdr:col>11</xdr:col>
      <xdr:colOff>958849</xdr:colOff>
      <xdr:row>3</xdr:row>
      <xdr:rowOff>123825</xdr:rowOff>
    </xdr:to>
    <xdr:pic>
      <xdr:nvPicPr>
        <xdr:cNvPr id="3" name="Picture 2" descr="Image result for jal jeevan mission logo">
          <a:extLst>
            <a:ext uri="{FF2B5EF4-FFF2-40B4-BE49-F238E27FC236}">
              <a16:creationId xmlns:a16="http://schemas.microsoft.com/office/drawing/2014/main" xmlns="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909050" y="57150"/>
          <a:ext cx="574040" cy="952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76200</xdr:colOff>
      <xdr:row>0</xdr:row>
      <xdr:rowOff>0</xdr:rowOff>
    </xdr:from>
    <xdr:to>
      <xdr:col>9</xdr:col>
      <xdr:colOff>654048</xdr:colOff>
      <xdr:row>3</xdr:row>
      <xdr:rowOff>166158</xdr:rowOff>
    </xdr:to>
    <xdr:pic>
      <xdr:nvPicPr>
        <xdr:cNvPr id="4" name="Picture 3" descr="Image result for MEDHAJ LOGO">
          <a:extLst>
            <a:ext uri="{FF2B5EF4-FFF2-40B4-BE49-F238E27FC236}">
              <a16:creationId xmlns:a16="http://schemas.microsoft.com/office/drawing/2014/main" xmlns="" id="{00000000-0008-0000-0A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134225" y="0"/>
          <a:ext cx="577215" cy="10515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10</xdr:col>
      <xdr:colOff>171450</xdr:colOff>
      <xdr:row>0</xdr:row>
      <xdr:rowOff>0</xdr:rowOff>
    </xdr:from>
    <xdr:to>
      <xdr:col>10</xdr:col>
      <xdr:colOff>529538</xdr:colOff>
      <xdr:row>3</xdr:row>
      <xdr:rowOff>161925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xmlns="" id="{00000000-0008-0000-0A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010525" y="0"/>
          <a:ext cx="357505" cy="1047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13</xdr:col>
      <xdr:colOff>123825</xdr:colOff>
      <xdr:row>0</xdr:row>
      <xdr:rowOff>28575</xdr:rowOff>
    </xdr:from>
    <xdr:ext cx="704850" cy="962025"/>
    <xdr:pic>
      <xdr:nvPicPr>
        <xdr:cNvPr id="6" name="Picture 5">
          <a:extLst>
            <a:ext uri="{FF2B5EF4-FFF2-40B4-BE49-F238E27FC236}">
              <a16:creationId xmlns:a16="http://schemas.microsoft.com/office/drawing/2014/main" xmlns="" id="{00000000-0008-0000-0A00-000006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0315575" y="28575"/>
          <a:ext cx="704850" cy="962025"/>
        </a:xfrm>
        <a:prstGeom prst="rect">
          <a:avLst/>
        </a:prstGeom>
        <a:noFill/>
      </xdr:spPr>
    </xdr:pic>
    <xdr:clientData/>
  </xdr:oneCellAnchor>
  <xdr:oneCellAnchor>
    <xdr:from>
      <xdr:col>24</xdr:col>
      <xdr:colOff>165100</xdr:colOff>
      <xdr:row>0</xdr:row>
      <xdr:rowOff>161925</xdr:rowOff>
    </xdr:from>
    <xdr:ext cx="574674" cy="952500"/>
    <xdr:pic>
      <xdr:nvPicPr>
        <xdr:cNvPr id="7" name="Picture 6" descr="Image result for jal jeevan mission logo">
          <a:extLst>
            <a:ext uri="{FF2B5EF4-FFF2-40B4-BE49-F238E27FC236}">
              <a16:creationId xmlns:a16="http://schemas.microsoft.com/office/drawing/2014/main" xmlns="" id="{00000000-0008-0000-0A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8443575" y="161925"/>
          <a:ext cx="574040" cy="952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22</xdr:col>
      <xdr:colOff>123825</xdr:colOff>
      <xdr:row>0</xdr:row>
      <xdr:rowOff>28575</xdr:rowOff>
    </xdr:from>
    <xdr:ext cx="577848" cy="1051983"/>
    <xdr:pic>
      <xdr:nvPicPr>
        <xdr:cNvPr id="8" name="Picture 7" descr="Image result for MEDHAJ LOGO">
          <a:extLst>
            <a:ext uri="{FF2B5EF4-FFF2-40B4-BE49-F238E27FC236}">
              <a16:creationId xmlns:a16="http://schemas.microsoft.com/office/drawing/2014/main" xmlns="" id="{00000000-0008-0000-0A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6773525" y="28575"/>
          <a:ext cx="577215" cy="10515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333375</xdr:colOff>
      <xdr:row>0</xdr:row>
      <xdr:rowOff>57150</xdr:rowOff>
    </xdr:from>
    <xdr:ext cx="358088" cy="1047750"/>
    <xdr:pic>
      <xdr:nvPicPr>
        <xdr:cNvPr id="9" name="Picture 8">
          <a:extLst>
            <a:ext uri="{FF2B5EF4-FFF2-40B4-BE49-F238E27FC236}">
              <a16:creationId xmlns:a16="http://schemas.microsoft.com/office/drawing/2014/main" xmlns="" id="{00000000-0008-0000-0A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7735550" y="57150"/>
          <a:ext cx="357505" cy="1047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123825</xdr:colOff>
      <xdr:row>0</xdr:row>
      <xdr:rowOff>28575</xdr:rowOff>
    </xdr:from>
    <xdr:ext cx="704850" cy="962025"/>
    <xdr:pic>
      <xdr:nvPicPr>
        <xdr:cNvPr id="10" name="Picture 9">
          <a:extLst>
            <a:ext uri="{FF2B5EF4-FFF2-40B4-BE49-F238E27FC236}">
              <a16:creationId xmlns:a16="http://schemas.microsoft.com/office/drawing/2014/main" xmlns="" id="{00000000-0008-0000-0A00-00000A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983450" y="28575"/>
          <a:ext cx="704850" cy="962025"/>
        </a:xfrm>
        <a:prstGeom prst="rect">
          <a:avLst/>
        </a:prstGeom>
        <a:noFill/>
      </xdr:spPr>
    </xdr:pic>
    <xdr:clientData/>
  </xdr:oneCellAnchor>
  <xdr:oneCellAnchor>
    <xdr:from>
      <xdr:col>37</xdr:col>
      <xdr:colOff>441325</xdr:colOff>
      <xdr:row>0</xdr:row>
      <xdr:rowOff>38100</xdr:rowOff>
    </xdr:from>
    <xdr:ext cx="574674" cy="952500"/>
    <xdr:pic>
      <xdr:nvPicPr>
        <xdr:cNvPr id="11" name="Picture 10" descr="Image result for jal jeevan mission logo">
          <a:extLst>
            <a:ext uri="{FF2B5EF4-FFF2-40B4-BE49-F238E27FC236}">
              <a16:creationId xmlns:a16="http://schemas.microsoft.com/office/drawing/2014/main" xmlns="" id="{00000000-0008-0000-0A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9206825" y="38100"/>
          <a:ext cx="574040" cy="952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35</xdr:col>
      <xdr:colOff>123825</xdr:colOff>
      <xdr:row>0</xdr:row>
      <xdr:rowOff>28575</xdr:rowOff>
    </xdr:from>
    <xdr:ext cx="577848" cy="1051983"/>
    <xdr:pic>
      <xdr:nvPicPr>
        <xdr:cNvPr id="12" name="Picture 11" descr="Image result for MEDHAJ LOGO">
          <a:extLst>
            <a:ext uri="{FF2B5EF4-FFF2-40B4-BE49-F238E27FC236}">
              <a16:creationId xmlns:a16="http://schemas.microsoft.com/office/drawing/2014/main" xmlns="" id="{00000000-0008-0000-0A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7270075" y="28575"/>
          <a:ext cx="577215" cy="10515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36</xdr:col>
      <xdr:colOff>333375</xdr:colOff>
      <xdr:row>0</xdr:row>
      <xdr:rowOff>57150</xdr:rowOff>
    </xdr:from>
    <xdr:ext cx="358088" cy="1047750"/>
    <xdr:pic>
      <xdr:nvPicPr>
        <xdr:cNvPr id="13" name="Picture 12">
          <a:extLst>
            <a:ext uri="{FF2B5EF4-FFF2-40B4-BE49-F238E27FC236}">
              <a16:creationId xmlns:a16="http://schemas.microsoft.com/office/drawing/2014/main" xmlns="" id="{00000000-0008-0000-0A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8308300" y="57150"/>
          <a:ext cx="357505" cy="1047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0</xdr:row>
      <xdr:rowOff>28575</xdr:rowOff>
    </xdr:from>
    <xdr:to>
      <xdr:col>0</xdr:col>
      <xdr:colOff>609600</xdr:colOff>
      <xdr:row>3</xdr:row>
      <xdr:rowOff>438150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B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3825" y="28575"/>
          <a:ext cx="485775" cy="981075"/>
        </a:xfrm>
        <a:prstGeom prst="rect">
          <a:avLst/>
        </a:prstGeom>
        <a:noFill/>
      </xdr:spPr>
    </xdr:pic>
    <xdr:clientData/>
  </xdr:twoCellAnchor>
  <xdr:twoCellAnchor editAs="oneCell">
    <xdr:from>
      <xdr:col>11</xdr:col>
      <xdr:colOff>384175</xdr:colOff>
      <xdr:row>0</xdr:row>
      <xdr:rowOff>57150</xdr:rowOff>
    </xdr:from>
    <xdr:to>
      <xdr:col>11</xdr:col>
      <xdr:colOff>958849</xdr:colOff>
      <xdr:row>3</xdr:row>
      <xdr:rowOff>457200</xdr:rowOff>
    </xdr:to>
    <xdr:pic>
      <xdr:nvPicPr>
        <xdr:cNvPr id="3" name="Picture 2" descr="Image result for jal jeevan mission logo">
          <a:extLst>
            <a:ext uri="{FF2B5EF4-FFF2-40B4-BE49-F238E27FC236}">
              <a16:creationId xmlns:a16="http://schemas.microsoft.com/office/drawing/2014/main" xmlns="" id="{00000000-0008-0000-0B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928100" y="57150"/>
          <a:ext cx="574040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76200</xdr:colOff>
      <xdr:row>0</xdr:row>
      <xdr:rowOff>0</xdr:rowOff>
    </xdr:from>
    <xdr:to>
      <xdr:col>9</xdr:col>
      <xdr:colOff>654048</xdr:colOff>
      <xdr:row>3</xdr:row>
      <xdr:rowOff>499533</xdr:rowOff>
    </xdr:to>
    <xdr:pic>
      <xdr:nvPicPr>
        <xdr:cNvPr id="4" name="Picture 3" descr="Image result for MEDHAJ LOGO">
          <a:extLst>
            <a:ext uri="{FF2B5EF4-FFF2-40B4-BE49-F238E27FC236}">
              <a16:creationId xmlns:a16="http://schemas.microsoft.com/office/drawing/2014/main" xmlns="" id="{00000000-0008-0000-0B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848475" y="0"/>
          <a:ext cx="577215" cy="10706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10</xdr:col>
      <xdr:colOff>171450</xdr:colOff>
      <xdr:row>0</xdr:row>
      <xdr:rowOff>0</xdr:rowOff>
    </xdr:from>
    <xdr:to>
      <xdr:col>10</xdr:col>
      <xdr:colOff>529538</xdr:colOff>
      <xdr:row>3</xdr:row>
      <xdr:rowOff>495300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xmlns="" id="{00000000-0008-0000-0B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715250" y="0"/>
          <a:ext cx="357505" cy="1066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13</xdr:col>
      <xdr:colOff>107950</xdr:colOff>
      <xdr:row>0</xdr:row>
      <xdr:rowOff>28575</xdr:rowOff>
    </xdr:from>
    <xdr:ext cx="485775" cy="981075"/>
    <xdr:pic>
      <xdr:nvPicPr>
        <xdr:cNvPr id="6" name="Picture 5">
          <a:extLst>
            <a:ext uri="{FF2B5EF4-FFF2-40B4-BE49-F238E27FC236}">
              <a16:creationId xmlns:a16="http://schemas.microsoft.com/office/drawing/2014/main" xmlns="" id="{00000000-0008-0000-0B00-000006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0442575" y="28575"/>
          <a:ext cx="485775" cy="981075"/>
        </a:xfrm>
        <a:prstGeom prst="rect">
          <a:avLst/>
        </a:prstGeom>
        <a:noFill/>
      </xdr:spPr>
    </xdr:pic>
    <xdr:clientData/>
  </xdr:oneCellAnchor>
  <xdr:oneCellAnchor>
    <xdr:from>
      <xdr:col>24</xdr:col>
      <xdr:colOff>384175</xdr:colOff>
      <xdr:row>0</xdr:row>
      <xdr:rowOff>57150</xdr:rowOff>
    </xdr:from>
    <xdr:ext cx="574674" cy="971550"/>
    <xdr:pic>
      <xdr:nvPicPr>
        <xdr:cNvPr id="7" name="Picture 6" descr="Image result for jal jeevan mission logo">
          <a:extLst>
            <a:ext uri="{FF2B5EF4-FFF2-40B4-BE49-F238E27FC236}">
              <a16:creationId xmlns:a16="http://schemas.microsoft.com/office/drawing/2014/main" xmlns="" id="{00000000-0008-0000-0B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8653125" y="57150"/>
          <a:ext cx="574040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22</xdr:col>
      <xdr:colOff>76200</xdr:colOff>
      <xdr:row>0</xdr:row>
      <xdr:rowOff>0</xdr:rowOff>
    </xdr:from>
    <xdr:ext cx="577848" cy="1071033"/>
    <xdr:pic>
      <xdr:nvPicPr>
        <xdr:cNvPr id="8" name="Picture 7" descr="Image result for MEDHAJ LOGO">
          <a:extLst>
            <a:ext uri="{FF2B5EF4-FFF2-40B4-BE49-F238E27FC236}">
              <a16:creationId xmlns:a16="http://schemas.microsoft.com/office/drawing/2014/main" xmlns="" id="{00000000-0008-0000-0B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7145000" y="0"/>
          <a:ext cx="577215" cy="10706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171450</xdr:colOff>
      <xdr:row>0</xdr:row>
      <xdr:rowOff>0</xdr:rowOff>
    </xdr:from>
    <xdr:ext cx="358088" cy="1066800"/>
    <xdr:pic>
      <xdr:nvPicPr>
        <xdr:cNvPr id="9" name="Picture 8">
          <a:extLst>
            <a:ext uri="{FF2B5EF4-FFF2-40B4-BE49-F238E27FC236}">
              <a16:creationId xmlns:a16="http://schemas.microsoft.com/office/drawing/2014/main" xmlns="" id="{00000000-0008-0000-0B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7840325" y="0"/>
          <a:ext cx="357505" cy="1066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27</xdr:col>
      <xdr:colOff>123825</xdr:colOff>
      <xdr:row>0</xdr:row>
      <xdr:rowOff>28575</xdr:rowOff>
    </xdr:from>
    <xdr:ext cx="485775" cy="981075"/>
    <xdr:pic>
      <xdr:nvPicPr>
        <xdr:cNvPr id="10" name="Picture 9">
          <a:extLst>
            <a:ext uri="{FF2B5EF4-FFF2-40B4-BE49-F238E27FC236}">
              <a16:creationId xmlns:a16="http://schemas.microsoft.com/office/drawing/2014/main" xmlns="" id="{00000000-0008-0000-0B00-00000A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0821650" y="28575"/>
          <a:ext cx="485775" cy="981075"/>
        </a:xfrm>
        <a:prstGeom prst="rect">
          <a:avLst/>
        </a:prstGeom>
        <a:noFill/>
      </xdr:spPr>
    </xdr:pic>
    <xdr:clientData/>
  </xdr:oneCellAnchor>
  <xdr:oneCellAnchor>
    <xdr:from>
      <xdr:col>38</xdr:col>
      <xdr:colOff>22225</xdr:colOff>
      <xdr:row>0</xdr:row>
      <xdr:rowOff>66675</xdr:rowOff>
    </xdr:from>
    <xdr:ext cx="574674" cy="971550"/>
    <xdr:pic>
      <xdr:nvPicPr>
        <xdr:cNvPr id="11" name="Picture 10" descr="Image result for jal jeevan mission logo">
          <a:extLst>
            <a:ext uri="{FF2B5EF4-FFF2-40B4-BE49-F238E27FC236}">
              <a16:creationId xmlns:a16="http://schemas.microsoft.com/office/drawing/2014/main" xmlns="" id="{00000000-0008-0000-0B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9111575" y="66675"/>
          <a:ext cx="574040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36</xdr:col>
      <xdr:colOff>76200</xdr:colOff>
      <xdr:row>0</xdr:row>
      <xdr:rowOff>0</xdr:rowOff>
    </xdr:from>
    <xdr:ext cx="577848" cy="1071033"/>
    <xdr:pic>
      <xdr:nvPicPr>
        <xdr:cNvPr id="12" name="Picture 11" descr="Image result for MEDHAJ LOGO">
          <a:extLst>
            <a:ext uri="{FF2B5EF4-FFF2-40B4-BE49-F238E27FC236}">
              <a16:creationId xmlns:a16="http://schemas.microsoft.com/office/drawing/2014/main" xmlns="" id="{00000000-0008-0000-0B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7584400" y="0"/>
          <a:ext cx="577215" cy="10706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37</xdr:col>
      <xdr:colOff>171450</xdr:colOff>
      <xdr:row>0</xdr:row>
      <xdr:rowOff>0</xdr:rowOff>
    </xdr:from>
    <xdr:ext cx="358088" cy="1066800"/>
    <xdr:pic>
      <xdr:nvPicPr>
        <xdr:cNvPr id="13" name="Picture 12">
          <a:extLst>
            <a:ext uri="{FF2B5EF4-FFF2-40B4-BE49-F238E27FC236}">
              <a16:creationId xmlns:a16="http://schemas.microsoft.com/office/drawing/2014/main" xmlns="" id="{00000000-0008-0000-0B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8451175" y="0"/>
          <a:ext cx="357505" cy="1066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40</xdr:col>
      <xdr:colOff>123825</xdr:colOff>
      <xdr:row>0</xdr:row>
      <xdr:rowOff>28575</xdr:rowOff>
    </xdr:from>
    <xdr:ext cx="485775" cy="981075"/>
    <xdr:pic>
      <xdr:nvPicPr>
        <xdr:cNvPr id="14" name="Picture 13">
          <a:extLst>
            <a:ext uri="{FF2B5EF4-FFF2-40B4-BE49-F238E27FC236}">
              <a16:creationId xmlns:a16="http://schemas.microsoft.com/office/drawing/2014/main" xmlns="" id="{00000000-0008-0000-0B00-00000E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0699075" y="28575"/>
          <a:ext cx="485775" cy="981075"/>
        </a:xfrm>
        <a:prstGeom prst="rect">
          <a:avLst/>
        </a:prstGeom>
        <a:noFill/>
      </xdr:spPr>
    </xdr:pic>
    <xdr:clientData/>
  </xdr:oneCellAnchor>
  <xdr:oneCellAnchor>
    <xdr:from>
      <xdr:col>51</xdr:col>
      <xdr:colOff>22225</xdr:colOff>
      <xdr:row>0</xdr:row>
      <xdr:rowOff>66675</xdr:rowOff>
    </xdr:from>
    <xdr:ext cx="574674" cy="971550"/>
    <xdr:pic>
      <xdr:nvPicPr>
        <xdr:cNvPr id="15" name="Picture 14" descr="Image result for jal jeevan mission logo">
          <a:extLst>
            <a:ext uri="{FF2B5EF4-FFF2-40B4-BE49-F238E27FC236}">
              <a16:creationId xmlns:a16="http://schemas.microsoft.com/office/drawing/2014/main" xmlns="" id="{00000000-0008-0000-0B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7788850" y="66675"/>
          <a:ext cx="574040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49</xdr:col>
      <xdr:colOff>76200</xdr:colOff>
      <xdr:row>0</xdr:row>
      <xdr:rowOff>0</xdr:rowOff>
    </xdr:from>
    <xdr:ext cx="577848" cy="1071033"/>
    <xdr:pic>
      <xdr:nvPicPr>
        <xdr:cNvPr id="16" name="Picture 15" descr="Image result for MEDHAJ LOGO">
          <a:extLst>
            <a:ext uri="{FF2B5EF4-FFF2-40B4-BE49-F238E27FC236}">
              <a16:creationId xmlns:a16="http://schemas.microsoft.com/office/drawing/2014/main" xmlns="" id="{00000000-0008-0000-0B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6642675" y="0"/>
          <a:ext cx="577215" cy="10706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50</xdr:col>
      <xdr:colOff>171450</xdr:colOff>
      <xdr:row>0</xdr:row>
      <xdr:rowOff>0</xdr:rowOff>
    </xdr:from>
    <xdr:ext cx="358088" cy="1066800"/>
    <xdr:pic>
      <xdr:nvPicPr>
        <xdr:cNvPr id="17" name="Picture 16">
          <a:extLst>
            <a:ext uri="{FF2B5EF4-FFF2-40B4-BE49-F238E27FC236}">
              <a16:creationId xmlns:a16="http://schemas.microsoft.com/office/drawing/2014/main" xmlns="" id="{00000000-0008-0000-0B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7338000" y="0"/>
          <a:ext cx="357505" cy="1066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53</xdr:col>
      <xdr:colOff>123825</xdr:colOff>
      <xdr:row>0</xdr:row>
      <xdr:rowOff>28575</xdr:rowOff>
    </xdr:from>
    <xdr:ext cx="485775" cy="981075"/>
    <xdr:pic>
      <xdr:nvPicPr>
        <xdr:cNvPr id="18" name="Picture 17">
          <a:extLst>
            <a:ext uri="{FF2B5EF4-FFF2-40B4-BE49-F238E27FC236}">
              <a16:creationId xmlns:a16="http://schemas.microsoft.com/office/drawing/2014/main" xmlns="" id="{00000000-0008-0000-0B00-00001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9090600" y="28575"/>
          <a:ext cx="485775" cy="981075"/>
        </a:xfrm>
        <a:prstGeom prst="rect">
          <a:avLst/>
        </a:prstGeom>
        <a:noFill/>
      </xdr:spPr>
    </xdr:pic>
    <xdr:clientData/>
  </xdr:oneCellAnchor>
  <xdr:oneCellAnchor>
    <xdr:from>
      <xdr:col>64</xdr:col>
      <xdr:colOff>22225</xdr:colOff>
      <xdr:row>0</xdr:row>
      <xdr:rowOff>66675</xdr:rowOff>
    </xdr:from>
    <xdr:ext cx="574674" cy="971550"/>
    <xdr:pic>
      <xdr:nvPicPr>
        <xdr:cNvPr id="19" name="Picture 18" descr="Image result for jal jeevan mission logo">
          <a:extLst>
            <a:ext uri="{FF2B5EF4-FFF2-40B4-BE49-F238E27FC236}">
              <a16:creationId xmlns:a16="http://schemas.microsoft.com/office/drawing/2014/main" xmlns="" id="{00000000-0008-0000-0B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6990000" y="66675"/>
          <a:ext cx="574040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62</xdr:col>
      <xdr:colOff>76200</xdr:colOff>
      <xdr:row>0</xdr:row>
      <xdr:rowOff>0</xdr:rowOff>
    </xdr:from>
    <xdr:ext cx="577848" cy="1071033"/>
    <xdr:pic>
      <xdr:nvPicPr>
        <xdr:cNvPr id="20" name="Picture 19" descr="Image result for MEDHAJ LOGO">
          <a:extLst>
            <a:ext uri="{FF2B5EF4-FFF2-40B4-BE49-F238E27FC236}">
              <a16:creationId xmlns:a16="http://schemas.microsoft.com/office/drawing/2014/main" xmlns="" id="{00000000-0008-0000-0B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843825" y="0"/>
          <a:ext cx="577215" cy="10706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63</xdr:col>
      <xdr:colOff>171450</xdr:colOff>
      <xdr:row>0</xdr:row>
      <xdr:rowOff>0</xdr:rowOff>
    </xdr:from>
    <xdr:ext cx="358088" cy="1066800"/>
    <xdr:pic>
      <xdr:nvPicPr>
        <xdr:cNvPr id="21" name="Picture 20">
          <a:extLst>
            <a:ext uri="{FF2B5EF4-FFF2-40B4-BE49-F238E27FC236}">
              <a16:creationId xmlns:a16="http://schemas.microsoft.com/office/drawing/2014/main" xmlns="" id="{00000000-0008-0000-0B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6539150" y="0"/>
          <a:ext cx="357505" cy="1066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0</xdr:row>
      <xdr:rowOff>0</xdr:rowOff>
    </xdr:from>
    <xdr:to>
      <xdr:col>0</xdr:col>
      <xdr:colOff>495300</xdr:colOff>
      <xdr:row>3</xdr:row>
      <xdr:rowOff>133350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C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04775" y="0"/>
          <a:ext cx="390525" cy="714375"/>
        </a:xfrm>
        <a:prstGeom prst="rect">
          <a:avLst/>
        </a:prstGeom>
        <a:noFill/>
      </xdr:spPr>
    </xdr:pic>
    <xdr:clientData/>
  </xdr:twoCellAnchor>
  <xdr:twoCellAnchor editAs="oneCell">
    <xdr:from>
      <xdr:col>11</xdr:col>
      <xdr:colOff>384174</xdr:colOff>
      <xdr:row>0</xdr:row>
      <xdr:rowOff>28575</xdr:rowOff>
    </xdr:from>
    <xdr:to>
      <xdr:col>11</xdr:col>
      <xdr:colOff>809625</xdr:colOff>
      <xdr:row>3</xdr:row>
      <xdr:rowOff>180925</xdr:rowOff>
    </xdr:to>
    <xdr:pic>
      <xdr:nvPicPr>
        <xdr:cNvPr id="3" name="Picture 2" descr="Image result for jal jeevan mission logo">
          <a:extLst>
            <a:ext uri="{FF2B5EF4-FFF2-40B4-BE49-F238E27FC236}">
              <a16:creationId xmlns:a16="http://schemas.microsoft.com/office/drawing/2014/main" xmlns="" id="{00000000-0008-0000-0C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18065" y="28575"/>
          <a:ext cx="426085" cy="732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76200</xdr:colOff>
      <xdr:row>0</xdr:row>
      <xdr:rowOff>0</xdr:rowOff>
    </xdr:from>
    <xdr:to>
      <xdr:col>9</xdr:col>
      <xdr:colOff>504825</xdr:colOff>
      <xdr:row>3</xdr:row>
      <xdr:rowOff>227556</xdr:rowOff>
    </xdr:to>
    <xdr:pic>
      <xdr:nvPicPr>
        <xdr:cNvPr id="4" name="Picture 3" descr="Image result for MEDHAJ LOGO">
          <a:extLst>
            <a:ext uri="{FF2B5EF4-FFF2-40B4-BE49-F238E27FC236}">
              <a16:creationId xmlns:a16="http://schemas.microsoft.com/office/drawing/2014/main" xmlns="" id="{00000000-0008-0000-0C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020050" y="0"/>
          <a:ext cx="428625" cy="80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10</xdr:col>
      <xdr:colOff>171450</xdr:colOff>
      <xdr:row>0</xdr:row>
      <xdr:rowOff>0</xdr:rowOff>
    </xdr:from>
    <xdr:to>
      <xdr:col>10</xdr:col>
      <xdr:colOff>533400</xdr:colOff>
      <xdr:row>3</xdr:row>
      <xdr:rowOff>66675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xmlns="" id="{00000000-0008-0000-0C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829675" y="0"/>
          <a:ext cx="36195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13</xdr:col>
      <xdr:colOff>152400</xdr:colOff>
      <xdr:row>0</xdr:row>
      <xdr:rowOff>0</xdr:rowOff>
    </xdr:from>
    <xdr:ext cx="390525" cy="714375"/>
    <xdr:pic>
      <xdr:nvPicPr>
        <xdr:cNvPr id="6" name="Picture 5">
          <a:extLst>
            <a:ext uri="{FF2B5EF4-FFF2-40B4-BE49-F238E27FC236}">
              <a16:creationId xmlns:a16="http://schemas.microsoft.com/office/drawing/2014/main" xmlns="" id="{00000000-0008-0000-0C00-000006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210925" y="0"/>
          <a:ext cx="390525" cy="714375"/>
        </a:xfrm>
        <a:prstGeom prst="rect">
          <a:avLst/>
        </a:prstGeom>
        <a:noFill/>
      </xdr:spPr>
    </xdr:pic>
    <xdr:clientData/>
  </xdr:oneCellAnchor>
  <xdr:oneCellAnchor>
    <xdr:from>
      <xdr:col>24</xdr:col>
      <xdr:colOff>384175</xdr:colOff>
      <xdr:row>0</xdr:row>
      <xdr:rowOff>57150</xdr:rowOff>
    </xdr:from>
    <xdr:ext cx="574674" cy="571500"/>
    <xdr:pic>
      <xdr:nvPicPr>
        <xdr:cNvPr id="7" name="Picture 6" descr="Image result for jal jeevan mission logo">
          <a:extLst>
            <a:ext uri="{FF2B5EF4-FFF2-40B4-BE49-F238E27FC236}">
              <a16:creationId xmlns:a16="http://schemas.microsoft.com/office/drawing/2014/main" xmlns="" id="{00000000-0008-0000-0C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215100" y="57150"/>
          <a:ext cx="57404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22</xdr:col>
      <xdr:colOff>76200</xdr:colOff>
      <xdr:row>0</xdr:row>
      <xdr:rowOff>1</xdr:rowOff>
    </xdr:from>
    <xdr:ext cx="577848" cy="704850"/>
    <xdr:pic>
      <xdr:nvPicPr>
        <xdr:cNvPr id="8" name="Picture 7" descr="Image result for MEDHAJ LOGO">
          <a:extLst>
            <a:ext uri="{FF2B5EF4-FFF2-40B4-BE49-F238E27FC236}">
              <a16:creationId xmlns:a16="http://schemas.microsoft.com/office/drawing/2014/main" xmlns="" id="{00000000-0008-0000-0C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7506950" y="0"/>
          <a:ext cx="57721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152400</xdr:colOff>
      <xdr:row>0</xdr:row>
      <xdr:rowOff>0</xdr:rowOff>
    </xdr:from>
    <xdr:ext cx="358088" cy="771525"/>
    <xdr:pic>
      <xdr:nvPicPr>
        <xdr:cNvPr id="9" name="Picture 8">
          <a:extLst>
            <a:ext uri="{FF2B5EF4-FFF2-40B4-BE49-F238E27FC236}">
              <a16:creationId xmlns:a16="http://schemas.microsoft.com/office/drawing/2014/main" xmlns="" id="{00000000-0008-0000-0C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8278475" y="0"/>
          <a:ext cx="357505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152400</xdr:colOff>
      <xdr:row>3</xdr:row>
      <xdr:rowOff>0</xdr:rowOff>
    </xdr:from>
    <xdr:ext cx="390525" cy="714375"/>
    <xdr:pic>
      <xdr:nvPicPr>
        <xdr:cNvPr id="10" name="Picture 9">
          <a:extLst>
            <a:ext uri="{FF2B5EF4-FFF2-40B4-BE49-F238E27FC236}">
              <a16:creationId xmlns:a16="http://schemas.microsoft.com/office/drawing/2014/main" xmlns="" id="{00000000-0008-0000-0C00-00000A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0754975" y="581025"/>
          <a:ext cx="390525" cy="714375"/>
        </a:xfrm>
        <a:prstGeom prst="rect">
          <a:avLst/>
        </a:prstGeom>
        <a:noFill/>
      </xdr:spPr>
    </xdr:pic>
    <xdr:clientData/>
  </xdr:oneCellAnchor>
  <xdr:oneCellAnchor>
    <xdr:from>
      <xdr:col>37</xdr:col>
      <xdr:colOff>12700</xdr:colOff>
      <xdr:row>3</xdr:row>
      <xdr:rowOff>133350</xdr:rowOff>
    </xdr:from>
    <xdr:ext cx="574674" cy="571500"/>
    <xdr:pic>
      <xdr:nvPicPr>
        <xdr:cNvPr id="11" name="Picture 10" descr="Image result for jal jeevan mission logo">
          <a:extLst>
            <a:ext uri="{FF2B5EF4-FFF2-40B4-BE49-F238E27FC236}">
              <a16:creationId xmlns:a16="http://schemas.microsoft.com/office/drawing/2014/main" xmlns="" id="{00000000-0008-0000-0C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8120975" y="714375"/>
          <a:ext cx="57404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35</xdr:col>
      <xdr:colOff>38100</xdr:colOff>
      <xdr:row>3</xdr:row>
      <xdr:rowOff>38101</xdr:rowOff>
    </xdr:from>
    <xdr:ext cx="577848" cy="704850"/>
    <xdr:pic>
      <xdr:nvPicPr>
        <xdr:cNvPr id="12" name="Picture 11" descr="Image result for MEDHAJ LOGO">
          <a:extLst>
            <a:ext uri="{FF2B5EF4-FFF2-40B4-BE49-F238E27FC236}">
              <a16:creationId xmlns:a16="http://schemas.microsoft.com/office/drawing/2014/main" xmlns="" id="{00000000-0008-0000-0C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6755725" y="619125"/>
          <a:ext cx="57721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36</xdr:col>
      <xdr:colOff>152400</xdr:colOff>
      <xdr:row>3</xdr:row>
      <xdr:rowOff>0</xdr:rowOff>
    </xdr:from>
    <xdr:ext cx="358088" cy="771525"/>
    <xdr:pic>
      <xdr:nvPicPr>
        <xdr:cNvPr id="13" name="Picture 12">
          <a:extLst>
            <a:ext uri="{FF2B5EF4-FFF2-40B4-BE49-F238E27FC236}">
              <a16:creationId xmlns:a16="http://schemas.microsoft.com/office/drawing/2014/main" xmlns="" id="{00000000-0008-0000-0C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7470100" y="581025"/>
          <a:ext cx="357505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123825</xdr:colOff>
      <xdr:row>54</xdr:row>
      <xdr:rowOff>85725</xdr:rowOff>
    </xdr:from>
    <xdr:to>
      <xdr:col>1</xdr:col>
      <xdr:colOff>209550</xdr:colOff>
      <xdr:row>57</xdr:row>
      <xdr:rowOff>133350</xdr:rowOff>
    </xdr:to>
    <xdr:pic>
      <xdr:nvPicPr>
        <xdr:cNvPr id="14" name="Picture 13">
          <a:extLst>
            <a:ext uri="{FF2B5EF4-FFF2-40B4-BE49-F238E27FC236}">
              <a16:creationId xmlns:a16="http://schemas.microsoft.com/office/drawing/2014/main" xmlns="" id="{00000000-0008-0000-0C00-00000E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3825" y="11268075"/>
          <a:ext cx="685800" cy="933450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327025</xdr:colOff>
      <xdr:row>54</xdr:row>
      <xdr:rowOff>19050</xdr:rowOff>
    </xdr:from>
    <xdr:to>
      <xdr:col>11</xdr:col>
      <xdr:colOff>206374</xdr:colOff>
      <xdr:row>57</xdr:row>
      <xdr:rowOff>57150</xdr:rowOff>
    </xdr:to>
    <xdr:pic>
      <xdr:nvPicPr>
        <xdr:cNvPr id="15" name="Picture 14" descr="Image result for jal jeevan mission logo">
          <a:extLst>
            <a:ext uri="{FF2B5EF4-FFF2-40B4-BE49-F238E27FC236}">
              <a16:creationId xmlns:a16="http://schemas.microsoft.com/office/drawing/2014/main" xmlns="" id="{00000000-0008-0000-0C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985250" y="11201400"/>
          <a:ext cx="755015" cy="923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485775</xdr:colOff>
      <xdr:row>54</xdr:row>
      <xdr:rowOff>0</xdr:rowOff>
    </xdr:from>
    <xdr:to>
      <xdr:col>8</xdr:col>
      <xdr:colOff>150343</xdr:colOff>
      <xdr:row>57</xdr:row>
      <xdr:rowOff>137583</xdr:rowOff>
    </xdr:to>
    <xdr:pic>
      <xdr:nvPicPr>
        <xdr:cNvPr id="16" name="Picture 15" descr="Image result for MEDHAJ LOGO">
          <a:extLst>
            <a:ext uri="{FF2B5EF4-FFF2-40B4-BE49-F238E27FC236}">
              <a16:creationId xmlns:a16="http://schemas.microsoft.com/office/drawing/2014/main" xmlns="" id="{00000000-0008-0000-0C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953125" y="11182350"/>
          <a:ext cx="902335" cy="10229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628650</xdr:colOff>
      <xdr:row>54</xdr:row>
      <xdr:rowOff>19050</xdr:rowOff>
    </xdr:from>
    <xdr:to>
      <xdr:col>9</xdr:col>
      <xdr:colOff>284690</xdr:colOff>
      <xdr:row>57</xdr:row>
      <xdr:rowOff>152400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xmlns="" id="{00000000-0008-0000-0C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34250" y="11201400"/>
          <a:ext cx="89408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0</xdr:row>
      <xdr:rowOff>0</xdr:rowOff>
    </xdr:from>
    <xdr:to>
      <xdr:col>0</xdr:col>
      <xdr:colOff>495300</xdr:colOff>
      <xdr:row>3</xdr:row>
      <xdr:rowOff>142875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D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04775" y="0"/>
          <a:ext cx="390525" cy="714375"/>
        </a:xfrm>
        <a:prstGeom prst="rect">
          <a:avLst/>
        </a:prstGeom>
        <a:noFill/>
      </xdr:spPr>
    </xdr:pic>
    <xdr:clientData/>
  </xdr:twoCellAnchor>
  <xdr:twoCellAnchor editAs="oneCell">
    <xdr:from>
      <xdr:col>11</xdr:col>
      <xdr:colOff>384174</xdr:colOff>
      <xdr:row>0</xdr:row>
      <xdr:rowOff>28575</xdr:rowOff>
    </xdr:from>
    <xdr:to>
      <xdr:col>11</xdr:col>
      <xdr:colOff>809625</xdr:colOff>
      <xdr:row>3</xdr:row>
      <xdr:rowOff>190450</xdr:rowOff>
    </xdr:to>
    <xdr:pic>
      <xdr:nvPicPr>
        <xdr:cNvPr id="3" name="Picture 2" descr="Image result for jal jeevan mission logo">
          <a:extLst>
            <a:ext uri="{FF2B5EF4-FFF2-40B4-BE49-F238E27FC236}">
              <a16:creationId xmlns:a16="http://schemas.microsoft.com/office/drawing/2014/main" xmlns="" id="{00000000-0008-0000-0D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18065" y="28575"/>
          <a:ext cx="426085" cy="732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76200</xdr:colOff>
      <xdr:row>0</xdr:row>
      <xdr:rowOff>1</xdr:rowOff>
    </xdr:from>
    <xdr:to>
      <xdr:col>9</xdr:col>
      <xdr:colOff>447675</xdr:colOff>
      <xdr:row>3</xdr:row>
      <xdr:rowOff>129271</xdr:rowOff>
    </xdr:to>
    <xdr:pic>
      <xdr:nvPicPr>
        <xdr:cNvPr id="4" name="Picture 3" descr="Image result for MEDHAJ LOGO">
          <a:extLst>
            <a:ext uri="{FF2B5EF4-FFF2-40B4-BE49-F238E27FC236}">
              <a16:creationId xmlns:a16="http://schemas.microsoft.com/office/drawing/2014/main" xmlns="" id="{00000000-0008-0000-0D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534275" y="0"/>
          <a:ext cx="371475" cy="7004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10</xdr:col>
      <xdr:colOff>171450</xdr:colOff>
      <xdr:row>0</xdr:row>
      <xdr:rowOff>0</xdr:rowOff>
    </xdr:from>
    <xdr:to>
      <xdr:col>10</xdr:col>
      <xdr:colOff>533400</xdr:colOff>
      <xdr:row>3</xdr:row>
      <xdr:rowOff>76200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xmlns="" id="{00000000-0008-0000-0D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401050" y="0"/>
          <a:ext cx="36195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13</xdr:col>
      <xdr:colOff>142875</xdr:colOff>
      <xdr:row>0</xdr:row>
      <xdr:rowOff>19050</xdr:rowOff>
    </xdr:from>
    <xdr:ext cx="390525" cy="714375"/>
    <xdr:pic>
      <xdr:nvPicPr>
        <xdr:cNvPr id="6" name="Picture 5">
          <a:extLst>
            <a:ext uri="{FF2B5EF4-FFF2-40B4-BE49-F238E27FC236}">
              <a16:creationId xmlns:a16="http://schemas.microsoft.com/office/drawing/2014/main" xmlns="" id="{00000000-0008-0000-0D00-000006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0" y="19050"/>
          <a:ext cx="390525" cy="714375"/>
        </a:xfrm>
        <a:prstGeom prst="rect">
          <a:avLst/>
        </a:prstGeom>
        <a:noFill/>
      </xdr:spPr>
    </xdr:pic>
    <xdr:clientData/>
  </xdr:oneCellAnchor>
  <xdr:oneCellAnchor>
    <xdr:from>
      <xdr:col>24</xdr:col>
      <xdr:colOff>384174</xdr:colOff>
      <xdr:row>0</xdr:row>
      <xdr:rowOff>28575</xdr:rowOff>
    </xdr:from>
    <xdr:ext cx="425451" cy="733375"/>
    <xdr:pic>
      <xdr:nvPicPr>
        <xdr:cNvPr id="7" name="Picture 6" descr="Image result for jal jeevan mission logo">
          <a:extLst>
            <a:ext uri="{FF2B5EF4-FFF2-40B4-BE49-F238E27FC236}">
              <a16:creationId xmlns:a16="http://schemas.microsoft.com/office/drawing/2014/main" xmlns="" id="{00000000-0008-0000-0D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0509865" y="28575"/>
          <a:ext cx="426085" cy="732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22</xdr:col>
      <xdr:colOff>76200</xdr:colOff>
      <xdr:row>0</xdr:row>
      <xdr:rowOff>1</xdr:rowOff>
    </xdr:from>
    <xdr:ext cx="371475" cy="700770"/>
    <xdr:pic>
      <xdr:nvPicPr>
        <xdr:cNvPr id="8" name="Picture 7" descr="Image result for MEDHAJ LOGO">
          <a:extLst>
            <a:ext uri="{FF2B5EF4-FFF2-40B4-BE49-F238E27FC236}">
              <a16:creationId xmlns:a16="http://schemas.microsoft.com/office/drawing/2014/main" xmlns="" id="{00000000-0008-0000-0D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8773775" y="0"/>
          <a:ext cx="371475" cy="7004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171450</xdr:colOff>
      <xdr:row>0</xdr:row>
      <xdr:rowOff>0</xdr:rowOff>
    </xdr:from>
    <xdr:ext cx="361950" cy="647700"/>
    <xdr:pic>
      <xdr:nvPicPr>
        <xdr:cNvPr id="9" name="Picture 8">
          <a:extLst>
            <a:ext uri="{FF2B5EF4-FFF2-40B4-BE49-F238E27FC236}">
              <a16:creationId xmlns:a16="http://schemas.microsoft.com/office/drawing/2014/main" xmlns="" id="{00000000-0008-0000-0D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602450" y="0"/>
          <a:ext cx="36195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142875</xdr:colOff>
      <xdr:row>0</xdr:row>
      <xdr:rowOff>19050</xdr:rowOff>
    </xdr:from>
    <xdr:ext cx="390525" cy="714375"/>
    <xdr:pic>
      <xdr:nvPicPr>
        <xdr:cNvPr id="10" name="Picture 9">
          <a:extLst>
            <a:ext uri="{FF2B5EF4-FFF2-40B4-BE49-F238E27FC236}">
              <a16:creationId xmlns:a16="http://schemas.microsoft.com/office/drawing/2014/main" xmlns="" id="{00000000-0008-0000-0D00-00000A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1850350" y="19050"/>
          <a:ext cx="390525" cy="714375"/>
        </a:xfrm>
        <a:prstGeom prst="rect">
          <a:avLst/>
        </a:prstGeom>
        <a:noFill/>
      </xdr:spPr>
    </xdr:pic>
    <xdr:clientData/>
  </xdr:oneCellAnchor>
  <xdr:oneCellAnchor>
    <xdr:from>
      <xdr:col>37</xdr:col>
      <xdr:colOff>117474</xdr:colOff>
      <xdr:row>0</xdr:row>
      <xdr:rowOff>0</xdr:rowOff>
    </xdr:from>
    <xdr:ext cx="425451" cy="733375"/>
    <xdr:pic>
      <xdr:nvPicPr>
        <xdr:cNvPr id="11" name="Picture 10" descr="Image result for jal jeevan mission logo">
          <a:extLst>
            <a:ext uri="{FF2B5EF4-FFF2-40B4-BE49-F238E27FC236}">
              <a16:creationId xmlns:a16="http://schemas.microsoft.com/office/drawing/2014/main" xmlns="" id="{00000000-0008-0000-0D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0168215" y="0"/>
          <a:ext cx="426085" cy="732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35</xdr:col>
      <xdr:colOff>76200</xdr:colOff>
      <xdr:row>0</xdr:row>
      <xdr:rowOff>1</xdr:rowOff>
    </xdr:from>
    <xdr:ext cx="371475" cy="700770"/>
    <xdr:pic>
      <xdr:nvPicPr>
        <xdr:cNvPr id="12" name="Picture 11" descr="Image result for MEDHAJ LOGO">
          <a:extLst>
            <a:ext uri="{FF2B5EF4-FFF2-40B4-BE49-F238E27FC236}">
              <a16:creationId xmlns:a16="http://schemas.microsoft.com/office/drawing/2014/main" xmlns="" id="{00000000-0008-0000-0D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8927425" y="0"/>
          <a:ext cx="371475" cy="7004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36</xdr:col>
      <xdr:colOff>171450</xdr:colOff>
      <xdr:row>0</xdr:row>
      <xdr:rowOff>0</xdr:rowOff>
    </xdr:from>
    <xdr:ext cx="361950" cy="647700"/>
    <xdr:pic>
      <xdr:nvPicPr>
        <xdr:cNvPr id="13" name="Picture 12">
          <a:extLst>
            <a:ext uri="{FF2B5EF4-FFF2-40B4-BE49-F238E27FC236}">
              <a16:creationId xmlns:a16="http://schemas.microsoft.com/office/drawing/2014/main" xmlns="" id="{00000000-0008-0000-0D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9622750" y="0"/>
          <a:ext cx="36195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39</xdr:col>
      <xdr:colOff>142875</xdr:colOff>
      <xdr:row>0</xdr:row>
      <xdr:rowOff>19050</xdr:rowOff>
    </xdr:from>
    <xdr:ext cx="390525" cy="714375"/>
    <xdr:pic>
      <xdr:nvPicPr>
        <xdr:cNvPr id="14" name="Picture 13">
          <a:extLst>
            <a:ext uri="{FF2B5EF4-FFF2-40B4-BE49-F238E27FC236}">
              <a16:creationId xmlns:a16="http://schemas.microsoft.com/office/drawing/2014/main" xmlns="" id="{00000000-0008-0000-0D00-00000E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394400" y="19050"/>
          <a:ext cx="390525" cy="714375"/>
        </a:xfrm>
        <a:prstGeom prst="rect">
          <a:avLst/>
        </a:prstGeom>
        <a:noFill/>
      </xdr:spPr>
    </xdr:pic>
    <xdr:clientData/>
  </xdr:oneCellAnchor>
  <xdr:oneCellAnchor>
    <xdr:from>
      <xdr:col>50</xdr:col>
      <xdr:colOff>117474</xdr:colOff>
      <xdr:row>0</xdr:row>
      <xdr:rowOff>0</xdr:rowOff>
    </xdr:from>
    <xdr:ext cx="425451" cy="733375"/>
    <xdr:pic>
      <xdr:nvPicPr>
        <xdr:cNvPr id="15" name="Picture 14" descr="Image result for jal jeevan mission logo">
          <a:extLst>
            <a:ext uri="{FF2B5EF4-FFF2-40B4-BE49-F238E27FC236}">
              <a16:creationId xmlns:a16="http://schemas.microsoft.com/office/drawing/2014/main" xmlns="" id="{00000000-0008-0000-0D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9712265" y="0"/>
          <a:ext cx="426085" cy="732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48</xdr:col>
      <xdr:colOff>76200</xdr:colOff>
      <xdr:row>0</xdr:row>
      <xdr:rowOff>1</xdr:rowOff>
    </xdr:from>
    <xdr:ext cx="371475" cy="700770"/>
    <xdr:pic>
      <xdr:nvPicPr>
        <xdr:cNvPr id="16" name="Picture 15" descr="Image result for MEDHAJ LOGO">
          <a:extLst>
            <a:ext uri="{FF2B5EF4-FFF2-40B4-BE49-F238E27FC236}">
              <a16:creationId xmlns:a16="http://schemas.microsoft.com/office/drawing/2014/main" xmlns="" id="{00000000-0008-0000-0D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471475" y="0"/>
          <a:ext cx="371475" cy="7004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49</xdr:col>
      <xdr:colOff>171450</xdr:colOff>
      <xdr:row>0</xdr:row>
      <xdr:rowOff>0</xdr:rowOff>
    </xdr:from>
    <xdr:ext cx="361950" cy="647700"/>
    <xdr:pic>
      <xdr:nvPicPr>
        <xdr:cNvPr id="17" name="Picture 16">
          <a:extLst>
            <a:ext uri="{FF2B5EF4-FFF2-40B4-BE49-F238E27FC236}">
              <a16:creationId xmlns:a16="http://schemas.microsoft.com/office/drawing/2014/main" xmlns="" id="{00000000-0008-0000-0D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9166800" y="0"/>
          <a:ext cx="36195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52</xdr:col>
      <xdr:colOff>142875</xdr:colOff>
      <xdr:row>0</xdr:row>
      <xdr:rowOff>19050</xdr:rowOff>
    </xdr:from>
    <xdr:ext cx="390525" cy="714375"/>
    <xdr:pic>
      <xdr:nvPicPr>
        <xdr:cNvPr id="18" name="Picture 17">
          <a:extLst>
            <a:ext uri="{FF2B5EF4-FFF2-40B4-BE49-F238E27FC236}">
              <a16:creationId xmlns:a16="http://schemas.microsoft.com/office/drawing/2014/main" xmlns="" id="{00000000-0008-0000-0D00-00001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0938450" y="19050"/>
          <a:ext cx="390525" cy="714375"/>
        </a:xfrm>
        <a:prstGeom prst="rect">
          <a:avLst/>
        </a:prstGeom>
        <a:noFill/>
      </xdr:spPr>
    </xdr:pic>
    <xdr:clientData/>
  </xdr:oneCellAnchor>
  <xdr:oneCellAnchor>
    <xdr:from>
      <xdr:col>63</xdr:col>
      <xdr:colOff>117474</xdr:colOff>
      <xdr:row>0</xdr:row>
      <xdr:rowOff>0</xdr:rowOff>
    </xdr:from>
    <xdr:ext cx="425451" cy="733375"/>
    <xdr:pic>
      <xdr:nvPicPr>
        <xdr:cNvPr id="19" name="Picture 18" descr="Image result for jal jeevan mission logo">
          <a:extLst>
            <a:ext uri="{FF2B5EF4-FFF2-40B4-BE49-F238E27FC236}">
              <a16:creationId xmlns:a16="http://schemas.microsoft.com/office/drawing/2014/main" xmlns="" id="{00000000-0008-0000-0D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9256315" y="0"/>
          <a:ext cx="426085" cy="732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61</xdr:col>
      <xdr:colOff>76200</xdr:colOff>
      <xdr:row>0</xdr:row>
      <xdr:rowOff>1</xdr:rowOff>
    </xdr:from>
    <xdr:ext cx="371475" cy="700770"/>
    <xdr:pic>
      <xdr:nvPicPr>
        <xdr:cNvPr id="20" name="Picture 19" descr="Image result for MEDHAJ LOGO">
          <a:extLst>
            <a:ext uri="{FF2B5EF4-FFF2-40B4-BE49-F238E27FC236}">
              <a16:creationId xmlns:a16="http://schemas.microsoft.com/office/drawing/2014/main" xmlns="" id="{00000000-0008-0000-0D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8015525" y="0"/>
          <a:ext cx="371475" cy="7004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62</xdr:col>
      <xdr:colOff>171450</xdr:colOff>
      <xdr:row>0</xdr:row>
      <xdr:rowOff>0</xdr:rowOff>
    </xdr:from>
    <xdr:ext cx="361950" cy="647700"/>
    <xdr:pic>
      <xdr:nvPicPr>
        <xdr:cNvPr id="21" name="Picture 20">
          <a:extLst>
            <a:ext uri="{FF2B5EF4-FFF2-40B4-BE49-F238E27FC236}">
              <a16:creationId xmlns:a16="http://schemas.microsoft.com/office/drawing/2014/main" xmlns="" id="{00000000-0008-0000-0D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8710850" y="0"/>
          <a:ext cx="36195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5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142875</xdr:colOff>
      <xdr:row>4</xdr:row>
      <xdr:rowOff>19050</xdr:rowOff>
    </xdr:from>
    <xdr:ext cx="390525" cy="714375"/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E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543175" y="790575"/>
          <a:ext cx="390525" cy="714375"/>
        </a:xfrm>
        <a:prstGeom prst="rect">
          <a:avLst/>
        </a:prstGeom>
        <a:noFill/>
      </xdr:spPr>
    </xdr:pic>
    <xdr:clientData/>
  </xdr:oneCellAnchor>
  <xdr:oneCellAnchor>
    <xdr:from>
      <xdr:col>15</xdr:col>
      <xdr:colOff>117474</xdr:colOff>
      <xdr:row>4</xdr:row>
      <xdr:rowOff>0</xdr:rowOff>
    </xdr:from>
    <xdr:ext cx="425451" cy="733375"/>
    <xdr:pic>
      <xdr:nvPicPr>
        <xdr:cNvPr id="3" name="Picture 2" descr="Image result for jal jeevan mission logo">
          <a:extLst>
            <a:ext uri="{FF2B5EF4-FFF2-40B4-BE49-F238E27FC236}">
              <a16:creationId xmlns:a16="http://schemas.microsoft.com/office/drawing/2014/main" xmlns="" id="{00000000-0008-0000-0E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0003790" y="771525"/>
          <a:ext cx="426085" cy="732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76200</xdr:colOff>
      <xdr:row>4</xdr:row>
      <xdr:rowOff>1</xdr:rowOff>
    </xdr:from>
    <xdr:ext cx="371475" cy="700770"/>
    <xdr:pic>
      <xdr:nvPicPr>
        <xdr:cNvPr id="4" name="Picture 3" descr="Image result for MEDHAJ LOGO">
          <a:extLst>
            <a:ext uri="{FF2B5EF4-FFF2-40B4-BE49-F238E27FC236}">
              <a16:creationId xmlns:a16="http://schemas.microsoft.com/office/drawing/2014/main" xmlns="" id="{00000000-0008-0000-0E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763000" y="771525"/>
          <a:ext cx="371475" cy="7004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14</xdr:col>
      <xdr:colOff>171450</xdr:colOff>
      <xdr:row>4</xdr:row>
      <xdr:rowOff>0</xdr:rowOff>
    </xdr:from>
    <xdr:ext cx="361950" cy="647700"/>
    <xdr:pic>
      <xdr:nvPicPr>
        <xdr:cNvPr id="5" name="Picture 4">
          <a:extLst>
            <a:ext uri="{FF2B5EF4-FFF2-40B4-BE49-F238E27FC236}">
              <a16:creationId xmlns:a16="http://schemas.microsoft.com/office/drawing/2014/main" xmlns="" id="{00000000-0008-0000-0E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458325" y="771525"/>
          <a:ext cx="36195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20</xdr:col>
      <xdr:colOff>142875</xdr:colOff>
      <xdr:row>4</xdr:row>
      <xdr:rowOff>19050</xdr:rowOff>
    </xdr:from>
    <xdr:ext cx="390525" cy="714375"/>
    <xdr:pic>
      <xdr:nvPicPr>
        <xdr:cNvPr id="18" name="Picture 17">
          <a:extLst>
            <a:ext uri="{FF2B5EF4-FFF2-40B4-BE49-F238E27FC236}">
              <a16:creationId xmlns:a16="http://schemas.microsoft.com/office/drawing/2014/main" xmlns="" id="{00000000-0008-0000-0E00-00001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3030200" y="790575"/>
          <a:ext cx="390525" cy="714375"/>
        </a:xfrm>
        <a:prstGeom prst="rect">
          <a:avLst/>
        </a:prstGeom>
        <a:noFill/>
      </xdr:spPr>
    </xdr:pic>
    <xdr:clientData/>
  </xdr:oneCellAnchor>
  <xdr:oneCellAnchor>
    <xdr:from>
      <xdr:col>31</xdr:col>
      <xdr:colOff>117474</xdr:colOff>
      <xdr:row>4</xdr:row>
      <xdr:rowOff>0</xdr:rowOff>
    </xdr:from>
    <xdr:ext cx="425451" cy="733375"/>
    <xdr:pic>
      <xdr:nvPicPr>
        <xdr:cNvPr id="19" name="Picture 18" descr="Image result for jal jeevan mission logo">
          <a:extLst>
            <a:ext uri="{FF2B5EF4-FFF2-40B4-BE49-F238E27FC236}">
              <a16:creationId xmlns:a16="http://schemas.microsoft.com/office/drawing/2014/main" xmlns="" id="{00000000-0008-0000-0E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0147915" y="771525"/>
          <a:ext cx="426085" cy="732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29</xdr:col>
      <xdr:colOff>76200</xdr:colOff>
      <xdr:row>4</xdr:row>
      <xdr:rowOff>1</xdr:rowOff>
    </xdr:from>
    <xdr:ext cx="371475" cy="700770"/>
    <xdr:pic>
      <xdr:nvPicPr>
        <xdr:cNvPr id="20" name="Picture 19" descr="Image result for MEDHAJ LOGO">
          <a:extLst>
            <a:ext uri="{FF2B5EF4-FFF2-40B4-BE49-F238E27FC236}">
              <a16:creationId xmlns:a16="http://schemas.microsoft.com/office/drawing/2014/main" xmlns="" id="{00000000-0008-0000-0E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8764250" y="771525"/>
          <a:ext cx="371475" cy="7004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30</xdr:col>
      <xdr:colOff>171450</xdr:colOff>
      <xdr:row>4</xdr:row>
      <xdr:rowOff>0</xdr:rowOff>
    </xdr:from>
    <xdr:ext cx="361950" cy="647700"/>
    <xdr:pic>
      <xdr:nvPicPr>
        <xdr:cNvPr id="21" name="Picture 20">
          <a:extLst>
            <a:ext uri="{FF2B5EF4-FFF2-40B4-BE49-F238E27FC236}">
              <a16:creationId xmlns:a16="http://schemas.microsoft.com/office/drawing/2014/main" xmlns="" id="{00000000-0008-0000-0E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59575" y="771525"/>
          <a:ext cx="36195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142875</xdr:colOff>
      <xdr:row>78</xdr:row>
      <xdr:rowOff>19050</xdr:rowOff>
    </xdr:from>
    <xdr:ext cx="390525" cy="714375"/>
    <xdr:pic>
      <xdr:nvPicPr>
        <xdr:cNvPr id="22" name="Picture 21">
          <a:extLst>
            <a:ext uri="{FF2B5EF4-FFF2-40B4-BE49-F238E27FC236}">
              <a16:creationId xmlns:a16="http://schemas.microsoft.com/office/drawing/2014/main" xmlns="" id="{00000000-0008-0000-0E00-000016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543175" y="15592425"/>
          <a:ext cx="390525" cy="714375"/>
        </a:xfrm>
        <a:prstGeom prst="rect">
          <a:avLst/>
        </a:prstGeom>
        <a:noFill/>
      </xdr:spPr>
    </xdr:pic>
    <xdr:clientData/>
  </xdr:oneCellAnchor>
  <xdr:oneCellAnchor>
    <xdr:from>
      <xdr:col>15</xdr:col>
      <xdr:colOff>117474</xdr:colOff>
      <xdr:row>78</xdr:row>
      <xdr:rowOff>0</xdr:rowOff>
    </xdr:from>
    <xdr:ext cx="425451" cy="733375"/>
    <xdr:pic>
      <xdr:nvPicPr>
        <xdr:cNvPr id="23" name="Picture 22" descr="Image result for jal jeevan mission logo">
          <a:extLst>
            <a:ext uri="{FF2B5EF4-FFF2-40B4-BE49-F238E27FC236}">
              <a16:creationId xmlns:a16="http://schemas.microsoft.com/office/drawing/2014/main" xmlns="" id="{00000000-0008-0000-0E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0003790" y="15573375"/>
          <a:ext cx="426085" cy="732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76200</xdr:colOff>
      <xdr:row>78</xdr:row>
      <xdr:rowOff>1</xdr:rowOff>
    </xdr:from>
    <xdr:ext cx="371475" cy="700770"/>
    <xdr:pic>
      <xdr:nvPicPr>
        <xdr:cNvPr id="24" name="Picture 23" descr="Image result for MEDHAJ LOGO">
          <a:extLst>
            <a:ext uri="{FF2B5EF4-FFF2-40B4-BE49-F238E27FC236}">
              <a16:creationId xmlns:a16="http://schemas.microsoft.com/office/drawing/2014/main" xmlns="" id="{00000000-0008-0000-0E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763000" y="15573375"/>
          <a:ext cx="371475" cy="7004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14</xdr:col>
      <xdr:colOff>171450</xdr:colOff>
      <xdr:row>78</xdr:row>
      <xdr:rowOff>0</xdr:rowOff>
    </xdr:from>
    <xdr:ext cx="361950" cy="647700"/>
    <xdr:pic>
      <xdr:nvPicPr>
        <xdr:cNvPr id="25" name="Picture 24">
          <a:extLst>
            <a:ext uri="{FF2B5EF4-FFF2-40B4-BE49-F238E27FC236}">
              <a16:creationId xmlns:a16="http://schemas.microsoft.com/office/drawing/2014/main" xmlns="" id="{00000000-0008-0000-0E00-00001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458325" y="15573375"/>
          <a:ext cx="36195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21</xdr:col>
      <xdr:colOff>142875</xdr:colOff>
      <xdr:row>78</xdr:row>
      <xdr:rowOff>19050</xdr:rowOff>
    </xdr:from>
    <xdr:ext cx="390525" cy="714375"/>
    <xdr:pic>
      <xdr:nvPicPr>
        <xdr:cNvPr id="30" name="Picture 29">
          <a:extLst>
            <a:ext uri="{FF2B5EF4-FFF2-40B4-BE49-F238E27FC236}">
              <a16:creationId xmlns:a16="http://schemas.microsoft.com/office/drawing/2014/main" xmlns="" id="{00000000-0008-0000-0E00-00001E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3630275" y="15592425"/>
          <a:ext cx="390525" cy="714375"/>
        </a:xfrm>
        <a:prstGeom prst="rect">
          <a:avLst/>
        </a:prstGeom>
        <a:noFill/>
      </xdr:spPr>
    </xdr:pic>
    <xdr:clientData/>
  </xdr:oneCellAnchor>
  <xdr:oneCellAnchor>
    <xdr:from>
      <xdr:col>32</xdr:col>
      <xdr:colOff>117474</xdr:colOff>
      <xdr:row>78</xdr:row>
      <xdr:rowOff>0</xdr:rowOff>
    </xdr:from>
    <xdr:ext cx="425451" cy="733375"/>
    <xdr:pic>
      <xdr:nvPicPr>
        <xdr:cNvPr id="31" name="Picture 30" descr="Image result for jal jeevan mission logo">
          <a:extLst>
            <a:ext uri="{FF2B5EF4-FFF2-40B4-BE49-F238E27FC236}">
              <a16:creationId xmlns:a16="http://schemas.microsoft.com/office/drawing/2014/main" xmlns="" id="{00000000-0008-0000-0E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0747990" y="15573375"/>
          <a:ext cx="426085" cy="732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30</xdr:col>
      <xdr:colOff>76200</xdr:colOff>
      <xdr:row>78</xdr:row>
      <xdr:rowOff>1</xdr:rowOff>
    </xdr:from>
    <xdr:ext cx="371475" cy="700770"/>
    <xdr:pic>
      <xdr:nvPicPr>
        <xdr:cNvPr id="32" name="Picture 31" descr="Image result for MEDHAJ LOGO">
          <a:extLst>
            <a:ext uri="{FF2B5EF4-FFF2-40B4-BE49-F238E27FC236}">
              <a16:creationId xmlns:a16="http://schemas.microsoft.com/office/drawing/2014/main" xmlns="" id="{00000000-0008-0000-0E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364325" y="15573375"/>
          <a:ext cx="371475" cy="7004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31</xdr:col>
      <xdr:colOff>171450</xdr:colOff>
      <xdr:row>78</xdr:row>
      <xdr:rowOff>0</xdr:rowOff>
    </xdr:from>
    <xdr:ext cx="361950" cy="647700"/>
    <xdr:pic>
      <xdr:nvPicPr>
        <xdr:cNvPr id="33" name="Picture 32">
          <a:extLst>
            <a:ext uri="{FF2B5EF4-FFF2-40B4-BE49-F238E27FC236}">
              <a16:creationId xmlns:a16="http://schemas.microsoft.com/office/drawing/2014/main" xmlns="" id="{00000000-0008-0000-0E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0202525" y="15573375"/>
          <a:ext cx="36195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34</xdr:col>
      <xdr:colOff>142875</xdr:colOff>
      <xdr:row>4</xdr:row>
      <xdr:rowOff>19050</xdr:rowOff>
    </xdr:from>
    <xdr:ext cx="390525" cy="714375"/>
    <xdr:pic>
      <xdr:nvPicPr>
        <xdr:cNvPr id="34" name="Picture 33">
          <a:extLst>
            <a:ext uri="{FF2B5EF4-FFF2-40B4-BE49-F238E27FC236}">
              <a16:creationId xmlns:a16="http://schemas.microsoft.com/office/drawing/2014/main" xmlns="" id="{00000000-0008-0000-0E00-00002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1974175" y="790575"/>
          <a:ext cx="390525" cy="714375"/>
        </a:xfrm>
        <a:prstGeom prst="rect">
          <a:avLst/>
        </a:prstGeom>
        <a:noFill/>
      </xdr:spPr>
    </xdr:pic>
    <xdr:clientData/>
  </xdr:oneCellAnchor>
  <xdr:oneCellAnchor>
    <xdr:from>
      <xdr:col>45</xdr:col>
      <xdr:colOff>117474</xdr:colOff>
      <xdr:row>4</xdr:row>
      <xdr:rowOff>0</xdr:rowOff>
    </xdr:from>
    <xdr:ext cx="425451" cy="733375"/>
    <xdr:pic>
      <xdr:nvPicPr>
        <xdr:cNvPr id="35" name="Picture 34" descr="Image result for jal jeevan mission logo">
          <a:extLst>
            <a:ext uri="{FF2B5EF4-FFF2-40B4-BE49-F238E27FC236}">
              <a16:creationId xmlns:a16="http://schemas.microsoft.com/office/drawing/2014/main" xmlns="" id="{00000000-0008-0000-0E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8834715" y="771525"/>
          <a:ext cx="426085" cy="732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43</xdr:col>
      <xdr:colOff>76200</xdr:colOff>
      <xdr:row>4</xdr:row>
      <xdr:rowOff>1</xdr:rowOff>
    </xdr:from>
    <xdr:ext cx="371475" cy="700770"/>
    <xdr:pic>
      <xdr:nvPicPr>
        <xdr:cNvPr id="36" name="Picture 35" descr="Image result for MEDHAJ LOGO">
          <a:extLst>
            <a:ext uri="{FF2B5EF4-FFF2-40B4-BE49-F238E27FC236}">
              <a16:creationId xmlns:a16="http://schemas.microsoft.com/office/drawing/2014/main" xmlns="" id="{00000000-0008-0000-0E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7593925" y="771525"/>
          <a:ext cx="371475" cy="7004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44</xdr:col>
      <xdr:colOff>171450</xdr:colOff>
      <xdr:row>4</xdr:row>
      <xdr:rowOff>0</xdr:rowOff>
    </xdr:from>
    <xdr:ext cx="361950" cy="647700"/>
    <xdr:pic>
      <xdr:nvPicPr>
        <xdr:cNvPr id="37" name="Picture 36">
          <a:extLst>
            <a:ext uri="{FF2B5EF4-FFF2-40B4-BE49-F238E27FC236}">
              <a16:creationId xmlns:a16="http://schemas.microsoft.com/office/drawing/2014/main" xmlns="" id="{00000000-0008-0000-0E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8289250" y="771525"/>
          <a:ext cx="36195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6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142875</xdr:colOff>
      <xdr:row>1</xdr:row>
      <xdr:rowOff>19050</xdr:rowOff>
    </xdr:from>
    <xdr:ext cx="390525" cy="714375"/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F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343025" y="219075"/>
          <a:ext cx="390525" cy="714375"/>
        </a:xfrm>
        <a:prstGeom prst="rect">
          <a:avLst/>
        </a:prstGeom>
        <a:noFill/>
      </xdr:spPr>
    </xdr:pic>
    <xdr:clientData/>
  </xdr:oneCellAnchor>
  <xdr:oneCellAnchor>
    <xdr:from>
      <xdr:col>13</xdr:col>
      <xdr:colOff>76652</xdr:colOff>
      <xdr:row>1</xdr:row>
      <xdr:rowOff>0</xdr:rowOff>
    </xdr:from>
    <xdr:ext cx="425451" cy="733375"/>
    <xdr:pic>
      <xdr:nvPicPr>
        <xdr:cNvPr id="3" name="Picture 2" descr="Image result for jal jeevan mission logo">
          <a:extLst>
            <a:ext uri="{FF2B5EF4-FFF2-40B4-BE49-F238E27FC236}">
              <a16:creationId xmlns:a16="http://schemas.microsoft.com/office/drawing/2014/main" xmlns="" id="{00000000-0008-0000-0F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048625" y="200025"/>
          <a:ext cx="425450" cy="732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76200</xdr:colOff>
      <xdr:row>1</xdr:row>
      <xdr:rowOff>1</xdr:rowOff>
    </xdr:from>
    <xdr:ext cx="371475" cy="700770"/>
    <xdr:pic>
      <xdr:nvPicPr>
        <xdr:cNvPr id="4" name="Picture 3" descr="Image result for MEDHAJ LOGO">
          <a:extLst>
            <a:ext uri="{FF2B5EF4-FFF2-40B4-BE49-F238E27FC236}">
              <a16:creationId xmlns:a16="http://schemas.microsoft.com/office/drawing/2014/main" xmlns="" id="{00000000-0008-0000-0F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677025" y="200025"/>
          <a:ext cx="371475" cy="7004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12</xdr:col>
      <xdr:colOff>171450</xdr:colOff>
      <xdr:row>1</xdr:row>
      <xdr:rowOff>0</xdr:rowOff>
    </xdr:from>
    <xdr:ext cx="361950" cy="647700"/>
    <xdr:pic>
      <xdr:nvPicPr>
        <xdr:cNvPr id="5" name="Picture 4">
          <a:extLst>
            <a:ext uri="{FF2B5EF4-FFF2-40B4-BE49-F238E27FC236}">
              <a16:creationId xmlns:a16="http://schemas.microsoft.com/office/drawing/2014/main" xmlns="" id="{00000000-0008-0000-0F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72350" y="200025"/>
          <a:ext cx="36195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142875</xdr:colOff>
      <xdr:row>1</xdr:row>
      <xdr:rowOff>19050</xdr:rowOff>
    </xdr:from>
    <xdr:ext cx="390525" cy="714375"/>
    <xdr:pic>
      <xdr:nvPicPr>
        <xdr:cNvPr id="6" name="Picture 5">
          <a:extLst>
            <a:ext uri="{FF2B5EF4-FFF2-40B4-BE49-F238E27FC236}">
              <a16:creationId xmlns:a16="http://schemas.microsoft.com/office/drawing/2014/main" xmlns="" id="{00000000-0008-0000-0F00-000006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15525" y="219075"/>
          <a:ext cx="390525" cy="714375"/>
        </a:xfrm>
        <a:prstGeom prst="rect">
          <a:avLst/>
        </a:prstGeom>
        <a:noFill/>
      </xdr:spPr>
    </xdr:pic>
    <xdr:clientData/>
  </xdr:oneCellAnchor>
  <xdr:oneCellAnchor>
    <xdr:from>
      <xdr:col>27</xdr:col>
      <xdr:colOff>117474</xdr:colOff>
      <xdr:row>1</xdr:row>
      <xdr:rowOff>0</xdr:rowOff>
    </xdr:from>
    <xdr:ext cx="425451" cy="733375"/>
    <xdr:pic>
      <xdr:nvPicPr>
        <xdr:cNvPr id="7" name="Picture 6" descr="Image result for jal jeevan mission logo">
          <a:extLst>
            <a:ext uri="{FF2B5EF4-FFF2-40B4-BE49-F238E27FC236}">
              <a16:creationId xmlns:a16="http://schemas.microsoft.com/office/drawing/2014/main" xmlns="" id="{00000000-0008-0000-0F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6490315" y="200025"/>
          <a:ext cx="426085" cy="732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25</xdr:col>
      <xdr:colOff>76200</xdr:colOff>
      <xdr:row>1</xdr:row>
      <xdr:rowOff>1</xdr:rowOff>
    </xdr:from>
    <xdr:ext cx="371475" cy="700770"/>
    <xdr:pic>
      <xdr:nvPicPr>
        <xdr:cNvPr id="8" name="Picture 7" descr="Image result for MEDHAJ LOGO">
          <a:extLst>
            <a:ext uri="{FF2B5EF4-FFF2-40B4-BE49-F238E27FC236}">
              <a16:creationId xmlns:a16="http://schemas.microsoft.com/office/drawing/2014/main" xmlns="" id="{00000000-0008-0000-0F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249525" y="200025"/>
          <a:ext cx="371475" cy="7004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171450</xdr:colOff>
      <xdr:row>1</xdr:row>
      <xdr:rowOff>0</xdr:rowOff>
    </xdr:from>
    <xdr:ext cx="361950" cy="647700"/>
    <xdr:pic>
      <xdr:nvPicPr>
        <xdr:cNvPr id="9" name="Picture 8">
          <a:extLst>
            <a:ext uri="{FF2B5EF4-FFF2-40B4-BE49-F238E27FC236}">
              <a16:creationId xmlns:a16="http://schemas.microsoft.com/office/drawing/2014/main" xmlns="" id="{00000000-0008-0000-0F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944850" y="200025"/>
          <a:ext cx="36195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30</xdr:col>
      <xdr:colOff>142875</xdr:colOff>
      <xdr:row>1</xdr:row>
      <xdr:rowOff>19050</xdr:rowOff>
    </xdr:from>
    <xdr:ext cx="390525" cy="714375"/>
    <xdr:pic>
      <xdr:nvPicPr>
        <xdr:cNvPr id="10" name="Picture 9">
          <a:extLst>
            <a:ext uri="{FF2B5EF4-FFF2-40B4-BE49-F238E27FC236}">
              <a16:creationId xmlns:a16="http://schemas.microsoft.com/office/drawing/2014/main" xmlns="" id="{00000000-0008-0000-0F00-00000A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8316575" y="219075"/>
          <a:ext cx="390525" cy="714375"/>
        </a:xfrm>
        <a:prstGeom prst="rect">
          <a:avLst/>
        </a:prstGeom>
        <a:noFill/>
      </xdr:spPr>
    </xdr:pic>
    <xdr:clientData/>
  </xdr:oneCellAnchor>
  <xdr:oneCellAnchor>
    <xdr:from>
      <xdr:col>41</xdr:col>
      <xdr:colOff>117474</xdr:colOff>
      <xdr:row>1</xdr:row>
      <xdr:rowOff>0</xdr:rowOff>
    </xdr:from>
    <xdr:ext cx="425451" cy="733375"/>
    <xdr:pic>
      <xdr:nvPicPr>
        <xdr:cNvPr id="11" name="Picture 10" descr="Image result for jal jeevan mission logo">
          <a:extLst>
            <a:ext uri="{FF2B5EF4-FFF2-40B4-BE49-F238E27FC236}">
              <a16:creationId xmlns:a16="http://schemas.microsoft.com/office/drawing/2014/main" xmlns="" id="{00000000-0008-0000-0F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891365" y="200025"/>
          <a:ext cx="426085" cy="732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39</xdr:col>
      <xdr:colOff>76200</xdr:colOff>
      <xdr:row>1</xdr:row>
      <xdr:rowOff>1</xdr:rowOff>
    </xdr:from>
    <xdr:ext cx="371475" cy="700770"/>
    <xdr:pic>
      <xdr:nvPicPr>
        <xdr:cNvPr id="12" name="Picture 11" descr="Image result for MEDHAJ LOGO">
          <a:extLst>
            <a:ext uri="{FF2B5EF4-FFF2-40B4-BE49-F238E27FC236}">
              <a16:creationId xmlns:a16="http://schemas.microsoft.com/office/drawing/2014/main" xmlns="" id="{00000000-0008-0000-0F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650575" y="200025"/>
          <a:ext cx="371475" cy="7004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40</xdr:col>
      <xdr:colOff>171450</xdr:colOff>
      <xdr:row>1</xdr:row>
      <xdr:rowOff>0</xdr:rowOff>
    </xdr:from>
    <xdr:ext cx="361950" cy="647700"/>
    <xdr:pic>
      <xdr:nvPicPr>
        <xdr:cNvPr id="13" name="Picture 12">
          <a:extLst>
            <a:ext uri="{FF2B5EF4-FFF2-40B4-BE49-F238E27FC236}">
              <a16:creationId xmlns:a16="http://schemas.microsoft.com/office/drawing/2014/main" xmlns="" id="{00000000-0008-0000-0F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45900" y="200025"/>
          <a:ext cx="36195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7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142875</xdr:colOff>
      <xdr:row>1</xdr:row>
      <xdr:rowOff>19050</xdr:rowOff>
    </xdr:from>
    <xdr:ext cx="390525" cy="714375"/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10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343025" y="219075"/>
          <a:ext cx="390525" cy="714375"/>
        </a:xfrm>
        <a:prstGeom prst="rect">
          <a:avLst/>
        </a:prstGeom>
        <a:noFill/>
      </xdr:spPr>
    </xdr:pic>
    <xdr:clientData/>
  </xdr:oneCellAnchor>
  <xdr:oneCellAnchor>
    <xdr:from>
      <xdr:col>13</xdr:col>
      <xdr:colOff>117474</xdr:colOff>
      <xdr:row>1</xdr:row>
      <xdr:rowOff>0</xdr:rowOff>
    </xdr:from>
    <xdr:ext cx="425451" cy="733375"/>
    <xdr:pic>
      <xdr:nvPicPr>
        <xdr:cNvPr id="3" name="Picture 2" descr="Image result for jal jeevan mission logo">
          <a:extLst>
            <a:ext uri="{FF2B5EF4-FFF2-40B4-BE49-F238E27FC236}">
              <a16:creationId xmlns:a16="http://schemas.microsoft.com/office/drawing/2014/main" xmlns="" id="{00000000-0008-0000-1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917940" y="200025"/>
          <a:ext cx="426085" cy="732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76200</xdr:colOff>
      <xdr:row>1</xdr:row>
      <xdr:rowOff>1</xdr:rowOff>
    </xdr:from>
    <xdr:ext cx="371475" cy="700770"/>
    <xdr:pic>
      <xdr:nvPicPr>
        <xdr:cNvPr id="4" name="Picture 3" descr="Image result for MEDHAJ LOGO">
          <a:extLst>
            <a:ext uri="{FF2B5EF4-FFF2-40B4-BE49-F238E27FC236}">
              <a16:creationId xmlns:a16="http://schemas.microsoft.com/office/drawing/2014/main" xmlns="" id="{00000000-0008-0000-1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677150" y="200025"/>
          <a:ext cx="371475" cy="7004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12</xdr:col>
      <xdr:colOff>171450</xdr:colOff>
      <xdr:row>1</xdr:row>
      <xdr:rowOff>0</xdr:rowOff>
    </xdr:from>
    <xdr:ext cx="361950" cy="647700"/>
    <xdr:pic>
      <xdr:nvPicPr>
        <xdr:cNvPr id="5" name="Picture 4">
          <a:extLst>
            <a:ext uri="{FF2B5EF4-FFF2-40B4-BE49-F238E27FC236}">
              <a16:creationId xmlns:a16="http://schemas.microsoft.com/office/drawing/2014/main" xmlns="" id="{00000000-0008-0000-1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372475" y="200025"/>
          <a:ext cx="36195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142875</xdr:colOff>
      <xdr:row>49</xdr:row>
      <xdr:rowOff>19050</xdr:rowOff>
    </xdr:from>
    <xdr:ext cx="390525" cy="714375"/>
    <xdr:pic>
      <xdr:nvPicPr>
        <xdr:cNvPr id="10" name="Picture 9">
          <a:extLst>
            <a:ext uri="{FF2B5EF4-FFF2-40B4-BE49-F238E27FC236}">
              <a16:creationId xmlns:a16="http://schemas.microsoft.com/office/drawing/2014/main" xmlns="" id="{00000000-0008-0000-1000-00000A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343025" y="10048875"/>
          <a:ext cx="390525" cy="714375"/>
        </a:xfrm>
        <a:prstGeom prst="rect">
          <a:avLst/>
        </a:prstGeom>
        <a:noFill/>
      </xdr:spPr>
    </xdr:pic>
    <xdr:clientData/>
  </xdr:oneCellAnchor>
  <xdr:oneCellAnchor>
    <xdr:from>
      <xdr:col>13</xdr:col>
      <xdr:colOff>117474</xdr:colOff>
      <xdr:row>49</xdr:row>
      <xdr:rowOff>0</xdr:rowOff>
    </xdr:from>
    <xdr:ext cx="425451" cy="733375"/>
    <xdr:pic>
      <xdr:nvPicPr>
        <xdr:cNvPr id="11" name="Picture 10" descr="Image result for jal jeevan mission logo">
          <a:extLst>
            <a:ext uri="{FF2B5EF4-FFF2-40B4-BE49-F238E27FC236}">
              <a16:creationId xmlns:a16="http://schemas.microsoft.com/office/drawing/2014/main" xmlns="" id="{00000000-0008-0000-1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917940" y="10029825"/>
          <a:ext cx="426085" cy="732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76200</xdr:colOff>
      <xdr:row>49</xdr:row>
      <xdr:rowOff>1</xdr:rowOff>
    </xdr:from>
    <xdr:ext cx="371475" cy="700770"/>
    <xdr:pic>
      <xdr:nvPicPr>
        <xdr:cNvPr id="12" name="Picture 11" descr="Image result for MEDHAJ LOGO">
          <a:extLst>
            <a:ext uri="{FF2B5EF4-FFF2-40B4-BE49-F238E27FC236}">
              <a16:creationId xmlns:a16="http://schemas.microsoft.com/office/drawing/2014/main" xmlns="" id="{00000000-0008-0000-1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677150" y="10029825"/>
          <a:ext cx="371475" cy="7004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12</xdr:col>
      <xdr:colOff>171450</xdr:colOff>
      <xdr:row>49</xdr:row>
      <xdr:rowOff>0</xdr:rowOff>
    </xdr:from>
    <xdr:ext cx="361950" cy="647700"/>
    <xdr:pic>
      <xdr:nvPicPr>
        <xdr:cNvPr id="13" name="Picture 12">
          <a:extLst>
            <a:ext uri="{FF2B5EF4-FFF2-40B4-BE49-F238E27FC236}">
              <a16:creationId xmlns:a16="http://schemas.microsoft.com/office/drawing/2014/main" xmlns="" id="{00000000-0008-0000-1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372475" y="10029825"/>
          <a:ext cx="36195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142875</xdr:colOff>
      <xdr:row>123</xdr:row>
      <xdr:rowOff>19050</xdr:rowOff>
    </xdr:from>
    <xdr:ext cx="390525" cy="714375"/>
    <xdr:pic>
      <xdr:nvPicPr>
        <xdr:cNvPr id="14" name="Picture 13">
          <a:extLst>
            <a:ext uri="{FF2B5EF4-FFF2-40B4-BE49-F238E27FC236}">
              <a16:creationId xmlns:a16="http://schemas.microsoft.com/office/drawing/2014/main" xmlns="" id="{00000000-0008-0000-1000-00000E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343025" y="24831675"/>
          <a:ext cx="390525" cy="714375"/>
        </a:xfrm>
        <a:prstGeom prst="rect">
          <a:avLst/>
        </a:prstGeom>
        <a:noFill/>
      </xdr:spPr>
    </xdr:pic>
    <xdr:clientData/>
  </xdr:oneCellAnchor>
  <xdr:oneCellAnchor>
    <xdr:from>
      <xdr:col>13</xdr:col>
      <xdr:colOff>117474</xdr:colOff>
      <xdr:row>123</xdr:row>
      <xdr:rowOff>0</xdr:rowOff>
    </xdr:from>
    <xdr:ext cx="425451" cy="733375"/>
    <xdr:pic>
      <xdr:nvPicPr>
        <xdr:cNvPr id="15" name="Picture 14" descr="Image result for jal jeevan mission logo">
          <a:extLst>
            <a:ext uri="{FF2B5EF4-FFF2-40B4-BE49-F238E27FC236}">
              <a16:creationId xmlns:a16="http://schemas.microsoft.com/office/drawing/2014/main" xmlns="" id="{00000000-0008-0000-1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917940" y="24812625"/>
          <a:ext cx="426085" cy="732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76200</xdr:colOff>
      <xdr:row>123</xdr:row>
      <xdr:rowOff>1</xdr:rowOff>
    </xdr:from>
    <xdr:ext cx="371475" cy="700770"/>
    <xdr:pic>
      <xdr:nvPicPr>
        <xdr:cNvPr id="16" name="Picture 15" descr="Image result for MEDHAJ LOGO">
          <a:extLst>
            <a:ext uri="{FF2B5EF4-FFF2-40B4-BE49-F238E27FC236}">
              <a16:creationId xmlns:a16="http://schemas.microsoft.com/office/drawing/2014/main" xmlns="" id="{00000000-0008-0000-10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677150" y="24812625"/>
          <a:ext cx="371475" cy="7004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12</xdr:col>
      <xdr:colOff>171450</xdr:colOff>
      <xdr:row>123</xdr:row>
      <xdr:rowOff>0</xdr:rowOff>
    </xdr:from>
    <xdr:ext cx="361950" cy="647700"/>
    <xdr:pic>
      <xdr:nvPicPr>
        <xdr:cNvPr id="17" name="Picture 16">
          <a:extLst>
            <a:ext uri="{FF2B5EF4-FFF2-40B4-BE49-F238E27FC236}">
              <a16:creationId xmlns:a16="http://schemas.microsoft.com/office/drawing/2014/main" xmlns="" id="{00000000-0008-0000-1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372475" y="24812625"/>
          <a:ext cx="36195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142875</xdr:colOff>
      <xdr:row>197</xdr:row>
      <xdr:rowOff>19050</xdr:rowOff>
    </xdr:from>
    <xdr:ext cx="390525" cy="714375"/>
    <xdr:pic>
      <xdr:nvPicPr>
        <xdr:cNvPr id="18" name="Picture 17">
          <a:extLst>
            <a:ext uri="{FF2B5EF4-FFF2-40B4-BE49-F238E27FC236}">
              <a16:creationId xmlns:a16="http://schemas.microsoft.com/office/drawing/2014/main" xmlns="" id="{00000000-0008-0000-1000-00001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343025" y="39614475"/>
          <a:ext cx="390525" cy="714375"/>
        </a:xfrm>
        <a:prstGeom prst="rect">
          <a:avLst/>
        </a:prstGeom>
        <a:noFill/>
      </xdr:spPr>
    </xdr:pic>
    <xdr:clientData/>
  </xdr:oneCellAnchor>
  <xdr:oneCellAnchor>
    <xdr:from>
      <xdr:col>13</xdr:col>
      <xdr:colOff>117474</xdr:colOff>
      <xdr:row>197</xdr:row>
      <xdr:rowOff>0</xdr:rowOff>
    </xdr:from>
    <xdr:ext cx="425451" cy="733375"/>
    <xdr:pic>
      <xdr:nvPicPr>
        <xdr:cNvPr id="19" name="Picture 18" descr="Image result for jal jeevan mission logo">
          <a:extLst>
            <a:ext uri="{FF2B5EF4-FFF2-40B4-BE49-F238E27FC236}">
              <a16:creationId xmlns:a16="http://schemas.microsoft.com/office/drawing/2014/main" xmlns="" id="{00000000-0008-0000-1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917940" y="39595425"/>
          <a:ext cx="426085" cy="732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76200</xdr:colOff>
      <xdr:row>197</xdr:row>
      <xdr:rowOff>1</xdr:rowOff>
    </xdr:from>
    <xdr:ext cx="371475" cy="700770"/>
    <xdr:pic>
      <xdr:nvPicPr>
        <xdr:cNvPr id="20" name="Picture 19" descr="Image result for MEDHAJ LOGO">
          <a:extLst>
            <a:ext uri="{FF2B5EF4-FFF2-40B4-BE49-F238E27FC236}">
              <a16:creationId xmlns:a16="http://schemas.microsoft.com/office/drawing/2014/main" xmlns="" id="{00000000-0008-0000-10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677150" y="39595425"/>
          <a:ext cx="371475" cy="7004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12</xdr:col>
      <xdr:colOff>171450</xdr:colOff>
      <xdr:row>197</xdr:row>
      <xdr:rowOff>0</xdr:rowOff>
    </xdr:from>
    <xdr:ext cx="361950" cy="647700"/>
    <xdr:pic>
      <xdr:nvPicPr>
        <xdr:cNvPr id="21" name="Picture 20">
          <a:extLst>
            <a:ext uri="{FF2B5EF4-FFF2-40B4-BE49-F238E27FC236}">
              <a16:creationId xmlns:a16="http://schemas.microsoft.com/office/drawing/2014/main" xmlns="" id="{00000000-0008-0000-10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372475" y="39595425"/>
          <a:ext cx="36195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8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76200</xdr:colOff>
      <xdr:row>1</xdr:row>
      <xdr:rowOff>28575</xdr:rowOff>
    </xdr:from>
    <xdr:ext cx="390525" cy="714375"/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11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76350" y="228600"/>
          <a:ext cx="390525" cy="714375"/>
        </a:xfrm>
        <a:prstGeom prst="rect">
          <a:avLst/>
        </a:prstGeom>
        <a:noFill/>
      </xdr:spPr>
    </xdr:pic>
    <xdr:clientData/>
  </xdr:oneCellAnchor>
  <xdr:oneCellAnchor>
    <xdr:from>
      <xdr:col>13</xdr:col>
      <xdr:colOff>80839</xdr:colOff>
      <xdr:row>1</xdr:row>
      <xdr:rowOff>7327</xdr:rowOff>
    </xdr:from>
    <xdr:ext cx="425451" cy="733375"/>
    <xdr:pic>
      <xdr:nvPicPr>
        <xdr:cNvPr id="3" name="Picture 2" descr="Image result for jal jeevan mission logo">
          <a:extLst>
            <a:ext uri="{FF2B5EF4-FFF2-40B4-BE49-F238E27FC236}">
              <a16:creationId xmlns:a16="http://schemas.microsoft.com/office/drawing/2014/main" xmlns="" id="{00000000-0008-0000-1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319770" y="207010"/>
          <a:ext cx="425450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105507</xdr:colOff>
      <xdr:row>1</xdr:row>
      <xdr:rowOff>21981</xdr:rowOff>
    </xdr:from>
    <xdr:ext cx="371475" cy="700770"/>
    <xdr:pic>
      <xdr:nvPicPr>
        <xdr:cNvPr id="4" name="Picture 3" descr="Image result for MEDHAJ LOGO">
          <a:extLst>
            <a:ext uri="{FF2B5EF4-FFF2-40B4-BE49-F238E27FC236}">
              <a16:creationId xmlns:a16="http://schemas.microsoft.com/office/drawing/2014/main" xmlns="" id="{00000000-0008-0000-1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944360" y="221615"/>
          <a:ext cx="371475" cy="7010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12</xdr:col>
      <xdr:colOff>208084</xdr:colOff>
      <xdr:row>1</xdr:row>
      <xdr:rowOff>51289</xdr:rowOff>
    </xdr:from>
    <xdr:ext cx="361950" cy="647700"/>
    <xdr:pic>
      <xdr:nvPicPr>
        <xdr:cNvPr id="5" name="Picture 4">
          <a:extLst>
            <a:ext uri="{FF2B5EF4-FFF2-40B4-BE49-F238E27FC236}">
              <a16:creationId xmlns:a16="http://schemas.microsoft.com/office/drawing/2014/main" xmlns="" id="{00000000-0008-0000-1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656195" y="250825"/>
          <a:ext cx="36195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54952</xdr:colOff>
      <xdr:row>43</xdr:row>
      <xdr:rowOff>33704</xdr:rowOff>
    </xdr:from>
    <xdr:ext cx="390525" cy="714375"/>
    <xdr:pic>
      <xdr:nvPicPr>
        <xdr:cNvPr id="22" name="Picture 21">
          <a:extLst>
            <a:ext uri="{FF2B5EF4-FFF2-40B4-BE49-F238E27FC236}">
              <a16:creationId xmlns:a16="http://schemas.microsoft.com/office/drawing/2014/main" xmlns="" id="{00000000-0008-0000-1100-000016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54760" y="8729980"/>
          <a:ext cx="390525" cy="714375"/>
        </a:xfrm>
        <a:prstGeom prst="rect">
          <a:avLst/>
        </a:prstGeom>
        <a:noFill/>
      </xdr:spPr>
    </xdr:pic>
    <xdr:clientData/>
  </xdr:oneCellAnchor>
  <xdr:oneCellAnchor>
    <xdr:from>
      <xdr:col>13</xdr:col>
      <xdr:colOff>58858</xdr:colOff>
      <xdr:row>43</xdr:row>
      <xdr:rowOff>7327</xdr:rowOff>
    </xdr:from>
    <xdr:ext cx="425451" cy="733375"/>
    <xdr:pic>
      <xdr:nvPicPr>
        <xdr:cNvPr id="23" name="Picture 22" descr="Image result for jal jeevan mission logo">
          <a:extLst>
            <a:ext uri="{FF2B5EF4-FFF2-40B4-BE49-F238E27FC236}">
              <a16:creationId xmlns:a16="http://schemas.microsoft.com/office/drawing/2014/main" xmlns="" id="{00000000-0008-0000-11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297545" y="8703310"/>
          <a:ext cx="425450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120161</xdr:colOff>
      <xdr:row>43</xdr:row>
      <xdr:rowOff>14655</xdr:rowOff>
    </xdr:from>
    <xdr:ext cx="371475" cy="700770"/>
    <xdr:pic>
      <xdr:nvPicPr>
        <xdr:cNvPr id="24" name="Picture 23" descr="Image result for MEDHAJ LOGO">
          <a:extLst>
            <a:ext uri="{FF2B5EF4-FFF2-40B4-BE49-F238E27FC236}">
              <a16:creationId xmlns:a16="http://schemas.microsoft.com/office/drawing/2014/main" xmlns="" id="{00000000-0008-0000-11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958965" y="8710930"/>
          <a:ext cx="371475" cy="7004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12</xdr:col>
      <xdr:colOff>230065</xdr:colOff>
      <xdr:row>43</xdr:row>
      <xdr:rowOff>21981</xdr:rowOff>
    </xdr:from>
    <xdr:ext cx="361950" cy="647700"/>
    <xdr:pic>
      <xdr:nvPicPr>
        <xdr:cNvPr id="25" name="Picture 24">
          <a:extLst>
            <a:ext uri="{FF2B5EF4-FFF2-40B4-BE49-F238E27FC236}">
              <a16:creationId xmlns:a16="http://schemas.microsoft.com/office/drawing/2014/main" xmlns="" id="{00000000-0008-0000-1100-00001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678420" y="8717915"/>
          <a:ext cx="36195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142875</xdr:colOff>
      <xdr:row>115</xdr:row>
      <xdr:rowOff>19050</xdr:rowOff>
    </xdr:from>
    <xdr:ext cx="390525" cy="714375"/>
    <xdr:pic>
      <xdr:nvPicPr>
        <xdr:cNvPr id="26" name="Picture 25">
          <a:extLst>
            <a:ext uri="{FF2B5EF4-FFF2-40B4-BE49-F238E27FC236}">
              <a16:creationId xmlns:a16="http://schemas.microsoft.com/office/drawing/2014/main" xmlns="" id="{00000000-0008-0000-1100-00001A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343025" y="22926675"/>
          <a:ext cx="390525" cy="714375"/>
        </a:xfrm>
        <a:prstGeom prst="rect">
          <a:avLst/>
        </a:prstGeom>
        <a:noFill/>
      </xdr:spPr>
    </xdr:pic>
    <xdr:clientData/>
  </xdr:oneCellAnchor>
  <xdr:oneCellAnchor>
    <xdr:from>
      <xdr:col>13</xdr:col>
      <xdr:colOff>117474</xdr:colOff>
      <xdr:row>115</xdr:row>
      <xdr:rowOff>0</xdr:rowOff>
    </xdr:from>
    <xdr:ext cx="425451" cy="733375"/>
    <xdr:pic>
      <xdr:nvPicPr>
        <xdr:cNvPr id="27" name="Picture 26" descr="Image result for jal jeevan mission logo">
          <a:extLst>
            <a:ext uri="{FF2B5EF4-FFF2-40B4-BE49-F238E27FC236}">
              <a16:creationId xmlns:a16="http://schemas.microsoft.com/office/drawing/2014/main" xmlns="" id="{00000000-0008-0000-11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355965" y="22907625"/>
          <a:ext cx="426085" cy="732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76200</xdr:colOff>
      <xdr:row>115</xdr:row>
      <xdr:rowOff>1</xdr:rowOff>
    </xdr:from>
    <xdr:ext cx="371475" cy="700770"/>
    <xdr:pic>
      <xdr:nvPicPr>
        <xdr:cNvPr id="28" name="Picture 27" descr="Image result for MEDHAJ LOGO">
          <a:extLst>
            <a:ext uri="{FF2B5EF4-FFF2-40B4-BE49-F238E27FC236}">
              <a16:creationId xmlns:a16="http://schemas.microsoft.com/office/drawing/2014/main" xmlns="" id="{00000000-0008-0000-11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915150" y="22907625"/>
          <a:ext cx="371475" cy="7004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12</xdr:col>
      <xdr:colOff>171450</xdr:colOff>
      <xdr:row>115</xdr:row>
      <xdr:rowOff>0</xdr:rowOff>
    </xdr:from>
    <xdr:ext cx="361950" cy="647700"/>
    <xdr:pic>
      <xdr:nvPicPr>
        <xdr:cNvPr id="29" name="Picture 28">
          <a:extLst>
            <a:ext uri="{FF2B5EF4-FFF2-40B4-BE49-F238E27FC236}">
              <a16:creationId xmlns:a16="http://schemas.microsoft.com/office/drawing/2014/main" xmlns="" id="{00000000-0008-0000-11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620000" y="22907625"/>
          <a:ext cx="36195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142875</xdr:colOff>
      <xdr:row>182</xdr:row>
      <xdr:rowOff>19050</xdr:rowOff>
    </xdr:from>
    <xdr:ext cx="390525" cy="714375"/>
    <xdr:pic>
      <xdr:nvPicPr>
        <xdr:cNvPr id="14" name="Picture 13">
          <a:extLst>
            <a:ext uri="{FF2B5EF4-FFF2-40B4-BE49-F238E27FC236}">
              <a16:creationId xmlns:a16="http://schemas.microsoft.com/office/drawing/2014/main" xmlns="" id="{00000000-0008-0000-1100-00000E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343025" y="36204525"/>
          <a:ext cx="390525" cy="714375"/>
        </a:xfrm>
        <a:prstGeom prst="rect">
          <a:avLst/>
        </a:prstGeom>
        <a:noFill/>
      </xdr:spPr>
    </xdr:pic>
    <xdr:clientData/>
  </xdr:oneCellAnchor>
  <xdr:oneCellAnchor>
    <xdr:from>
      <xdr:col>13</xdr:col>
      <xdr:colOff>117474</xdr:colOff>
      <xdr:row>182</xdr:row>
      <xdr:rowOff>0</xdr:rowOff>
    </xdr:from>
    <xdr:ext cx="425451" cy="733375"/>
    <xdr:pic>
      <xdr:nvPicPr>
        <xdr:cNvPr id="15" name="Picture 14" descr="Image result for jal jeevan mission logo">
          <a:extLst>
            <a:ext uri="{FF2B5EF4-FFF2-40B4-BE49-F238E27FC236}">
              <a16:creationId xmlns:a16="http://schemas.microsoft.com/office/drawing/2014/main" xmlns="" id="{00000000-0008-0000-11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355965" y="36185475"/>
          <a:ext cx="426085" cy="732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76200</xdr:colOff>
      <xdr:row>182</xdr:row>
      <xdr:rowOff>1</xdr:rowOff>
    </xdr:from>
    <xdr:ext cx="371475" cy="700770"/>
    <xdr:pic>
      <xdr:nvPicPr>
        <xdr:cNvPr id="16" name="Picture 15" descr="Image result for MEDHAJ LOGO">
          <a:extLst>
            <a:ext uri="{FF2B5EF4-FFF2-40B4-BE49-F238E27FC236}">
              <a16:creationId xmlns:a16="http://schemas.microsoft.com/office/drawing/2014/main" xmlns="" id="{00000000-0008-0000-11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915150" y="36185475"/>
          <a:ext cx="371475" cy="7004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12</xdr:col>
      <xdr:colOff>171450</xdr:colOff>
      <xdr:row>182</xdr:row>
      <xdr:rowOff>0</xdr:rowOff>
    </xdr:from>
    <xdr:ext cx="361950" cy="647700"/>
    <xdr:pic>
      <xdr:nvPicPr>
        <xdr:cNvPr id="17" name="Picture 16">
          <a:extLst>
            <a:ext uri="{FF2B5EF4-FFF2-40B4-BE49-F238E27FC236}">
              <a16:creationId xmlns:a16="http://schemas.microsoft.com/office/drawing/2014/main" xmlns="" id="{00000000-0008-0000-11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620000" y="36185475"/>
          <a:ext cx="36195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9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54952</xdr:colOff>
      <xdr:row>2</xdr:row>
      <xdr:rowOff>33704</xdr:rowOff>
    </xdr:from>
    <xdr:ext cx="390525" cy="714375"/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12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54760" y="424180"/>
          <a:ext cx="390525" cy="714375"/>
        </a:xfrm>
        <a:prstGeom prst="rect">
          <a:avLst/>
        </a:prstGeom>
        <a:noFill/>
      </xdr:spPr>
    </xdr:pic>
    <xdr:clientData/>
  </xdr:oneCellAnchor>
  <xdr:oneCellAnchor>
    <xdr:from>
      <xdr:col>13</xdr:col>
      <xdr:colOff>58858</xdr:colOff>
      <xdr:row>2</xdr:row>
      <xdr:rowOff>7327</xdr:rowOff>
    </xdr:from>
    <xdr:ext cx="425451" cy="733375"/>
    <xdr:pic>
      <xdr:nvPicPr>
        <xdr:cNvPr id="3" name="Picture 2" descr="Image result for jal jeevan mission logo">
          <a:extLst>
            <a:ext uri="{FF2B5EF4-FFF2-40B4-BE49-F238E27FC236}">
              <a16:creationId xmlns:a16="http://schemas.microsoft.com/office/drawing/2014/main" xmlns="" id="{00000000-0008-0000-1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859395" y="397510"/>
          <a:ext cx="425450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120161</xdr:colOff>
      <xdr:row>2</xdr:row>
      <xdr:rowOff>14655</xdr:rowOff>
    </xdr:from>
    <xdr:ext cx="371475" cy="700770"/>
    <xdr:pic>
      <xdr:nvPicPr>
        <xdr:cNvPr id="4" name="Picture 3" descr="Image result for MEDHAJ LOGO">
          <a:extLst>
            <a:ext uri="{FF2B5EF4-FFF2-40B4-BE49-F238E27FC236}">
              <a16:creationId xmlns:a16="http://schemas.microsoft.com/office/drawing/2014/main" xmlns="" id="{00000000-0008-0000-1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720840" y="405130"/>
          <a:ext cx="371475" cy="7004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12</xdr:col>
      <xdr:colOff>230065</xdr:colOff>
      <xdr:row>2</xdr:row>
      <xdr:rowOff>21981</xdr:rowOff>
    </xdr:from>
    <xdr:ext cx="361950" cy="647700"/>
    <xdr:pic>
      <xdr:nvPicPr>
        <xdr:cNvPr id="5" name="Picture 4">
          <a:extLst>
            <a:ext uri="{FF2B5EF4-FFF2-40B4-BE49-F238E27FC236}">
              <a16:creationId xmlns:a16="http://schemas.microsoft.com/office/drawing/2014/main" xmlns="" id="{00000000-0008-0000-12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430770" y="412115"/>
          <a:ext cx="36195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142875</xdr:colOff>
      <xdr:row>63</xdr:row>
      <xdr:rowOff>19050</xdr:rowOff>
    </xdr:from>
    <xdr:ext cx="390525" cy="714375"/>
    <xdr:pic>
      <xdr:nvPicPr>
        <xdr:cNvPr id="6" name="Picture 5">
          <a:extLst>
            <a:ext uri="{FF2B5EF4-FFF2-40B4-BE49-F238E27FC236}">
              <a16:creationId xmlns:a16="http://schemas.microsoft.com/office/drawing/2014/main" xmlns="" id="{00000000-0008-0000-1200-000006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343025" y="12715875"/>
          <a:ext cx="390525" cy="714375"/>
        </a:xfrm>
        <a:prstGeom prst="rect">
          <a:avLst/>
        </a:prstGeom>
        <a:noFill/>
      </xdr:spPr>
    </xdr:pic>
    <xdr:clientData/>
  </xdr:oneCellAnchor>
  <xdr:oneCellAnchor>
    <xdr:from>
      <xdr:col>13</xdr:col>
      <xdr:colOff>117474</xdr:colOff>
      <xdr:row>63</xdr:row>
      <xdr:rowOff>0</xdr:rowOff>
    </xdr:from>
    <xdr:ext cx="425451" cy="733375"/>
    <xdr:pic>
      <xdr:nvPicPr>
        <xdr:cNvPr id="7" name="Picture 6" descr="Image result for jal jeevan mission logo">
          <a:extLst>
            <a:ext uri="{FF2B5EF4-FFF2-40B4-BE49-F238E27FC236}">
              <a16:creationId xmlns:a16="http://schemas.microsoft.com/office/drawing/2014/main" xmlns="" id="{00000000-0008-0000-12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917815" y="12696825"/>
          <a:ext cx="426085" cy="732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76200</xdr:colOff>
      <xdr:row>63</xdr:row>
      <xdr:rowOff>1</xdr:rowOff>
    </xdr:from>
    <xdr:ext cx="371475" cy="700770"/>
    <xdr:pic>
      <xdr:nvPicPr>
        <xdr:cNvPr id="8" name="Picture 7" descr="Image result for MEDHAJ LOGO">
          <a:extLst>
            <a:ext uri="{FF2B5EF4-FFF2-40B4-BE49-F238E27FC236}">
              <a16:creationId xmlns:a16="http://schemas.microsoft.com/office/drawing/2014/main" xmlns="" id="{00000000-0008-0000-12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677025" y="12696825"/>
          <a:ext cx="371475" cy="7004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12</xdr:col>
      <xdr:colOff>171450</xdr:colOff>
      <xdr:row>63</xdr:row>
      <xdr:rowOff>0</xdr:rowOff>
    </xdr:from>
    <xdr:ext cx="361950" cy="647700"/>
    <xdr:pic>
      <xdr:nvPicPr>
        <xdr:cNvPr id="9" name="Picture 8">
          <a:extLst>
            <a:ext uri="{FF2B5EF4-FFF2-40B4-BE49-F238E27FC236}">
              <a16:creationId xmlns:a16="http://schemas.microsoft.com/office/drawing/2014/main" xmlns="" id="{00000000-0008-0000-12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72350" y="12696825"/>
          <a:ext cx="36195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142875</xdr:colOff>
      <xdr:row>114</xdr:row>
      <xdr:rowOff>19050</xdr:rowOff>
    </xdr:from>
    <xdr:ext cx="390525" cy="714375"/>
    <xdr:pic>
      <xdr:nvPicPr>
        <xdr:cNvPr id="10" name="Picture 9">
          <a:extLst>
            <a:ext uri="{FF2B5EF4-FFF2-40B4-BE49-F238E27FC236}">
              <a16:creationId xmlns:a16="http://schemas.microsoft.com/office/drawing/2014/main" xmlns="" id="{00000000-0008-0000-1200-00000A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343025" y="23117175"/>
          <a:ext cx="390525" cy="714375"/>
        </a:xfrm>
        <a:prstGeom prst="rect">
          <a:avLst/>
        </a:prstGeom>
        <a:noFill/>
      </xdr:spPr>
    </xdr:pic>
    <xdr:clientData/>
  </xdr:oneCellAnchor>
  <xdr:oneCellAnchor>
    <xdr:from>
      <xdr:col>13</xdr:col>
      <xdr:colOff>117474</xdr:colOff>
      <xdr:row>114</xdr:row>
      <xdr:rowOff>0</xdr:rowOff>
    </xdr:from>
    <xdr:ext cx="425451" cy="733375"/>
    <xdr:pic>
      <xdr:nvPicPr>
        <xdr:cNvPr id="11" name="Picture 10" descr="Image result for jal jeevan mission logo">
          <a:extLst>
            <a:ext uri="{FF2B5EF4-FFF2-40B4-BE49-F238E27FC236}">
              <a16:creationId xmlns:a16="http://schemas.microsoft.com/office/drawing/2014/main" xmlns="" id="{00000000-0008-0000-12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917815" y="23098125"/>
          <a:ext cx="426085" cy="732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76200</xdr:colOff>
      <xdr:row>114</xdr:row>
      <xdr:rowOff>1</xdr:rowOff>
    </xdr:from>
    <xdr:ext cx="371475" cy="700770"/>
    <xdr:pic>
      <xdr:nvPicPr>
        <xdr:cNvPr id="12" name="Picture 11" descr="Image result for MEDHAJ LOGO">
          <a:extLst>
            <a:ext uri="{FF2B5EF4-FFF2-40B4-BE49-F238E27FC236}">
              <a16:creationId xmlns:a16="http://schemas.microsoft.com/office/drawing/2014/main" xmlns="" id="{00000000-0008-0000-12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677025" y="23098125"/>
          <a:ext cx="371475" cy="7004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12</xdr:col>
      <xdr:colOff>171450</xdr:colOff>
      <xdr:row>114</xdr:row>
      <xdr:rowOff>0</xdr:rowOff>
    </xdr:from>
    <xdr:ext cx="361950" cy="647700"/>
    <xdr:pic>
      <xdr:nvPicPr>
        <xdr:cNvPr id="13" name="Picture 12">
          <a:extLst>
            <a:ext uri="{FF2B5EF4-FFF2-40B4-BE49-F238E27FC236}">
              <a16:creationId xmlns:a16="http://schemas.microsoft.com/office/drawing/2014/main" xmlns="" id="{00000000-0008-0000-12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72350" y="23098125"/>
          <a:ext cx="36195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142875</xdr:colOff>
      <xdr:row>166</xdr:row>
      <xdr:rowOff>19050</xdr:rowOff>
    </xdr:from>
    <xdr:ext cx="390525" cy="714375"/>
    <xdr:pic>
      <xdr:nvPicPr>
        <xdr:cNvPr id="14" name="Picture 13">
          <a:extLst>
            <a:ext uri="{FF2B5EF4-FFF2-40B4-BE49-F238E27FC236}">
              <a16:creationId xmlns:a16="http://schemas.microsoft.com/office/drawing/2014/main" xmlns="" id="{00000000-0008-0000-1200-00000E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343025" y="33708975"/>
          <a:ext cx="390525" cy="714375"/>
        </a:xfrm>
        <a:prstGeom prst="rect">
          <a:avLst/>
        </a:prstGeom>
        <a:noFill/>
      </xdr:spPr>
    </xdr:pic>
    <xdr:clientData/>
  </xdr:oneCellAnchor>
  <xdr:oneCellAnchor>
    <xdr:from>
      <xdr:col>13</xdr:col>
      <xdr:colOff>117474</xdr:colOff>
      <xdr:row>166</xdr:row>
      <xdr:rowOff>0</xdr:rowOff>
    </xdr:from>
    <xdr:ext cx="425451" cy="733375"/>
    <xdr:pic>
      <xdr:nvPicPr>
        <xdr:cNvPr id="15" name="Picture 14" descr="Image result for jal jeevan mission logo">
          <a:extLst>
            <a:ext uri="{FF2B5EF4-FFF2-40B4-BE49-F238E27FC236}">
              <a16:creationId xmlns:a16="http://schemas.microsoft.com/office/drawing/2014/main" xmlns="" id="{00000000-0008-0000-12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917815" y="33689925"/>
          <a:ext cx="426085" cy="732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76200</xdr:colOff>
      <xdr:row>166</xdr:row>
      <xdr:rowOff>1</xdr:rowOff>
    </xdr:from>
    <xdr:ext cx="371475" cy="700770"/>
    <xdr:pic>
      <xdr:nvPicPr>
        <xdr:cNvPr id="16" name="Picture 15" descr="Image result for MEDHAJ LOGO">
          <a:extLst>
            <a:ext uri="{FF2B5EF4-FFF2-40B4-BE49-F238E27FC236}">
              <a16:creationId xmlns:a16="http://schemas.microsoft.com/office/drawing/2014/main" xmlns="" id="{00000000-0008-0000-12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677025" y="33689925"/>
          <a:ext cx="371475" cy="7004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12</xdr:col>
      <xdr:colOff>171450</xdr:colOff>
      <xdr:row>166</xdr:row>
      <xdr:rowOff>0</xdr:rowOff>
    </xdr:from>
    <xdr:ext cx="361950" cy="647700"/>
    <xdr:pic>
      <xdr:nvPicPr>
        <xdr:cNvPr id="17" name="Picture 16">
          <a:extLst>
            <a:ext uri="{FF2B5EF4-FFF2-40B4-BE49-F238E27FC236}">
              <a16:creationId xmlns:a16="http://schemas.microsoft.com/office/drawing/2014/main" xmlns="" id="{00000000-0008-0000-12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72350" y="33689925"/>
          <a:ext cx="36195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0</xdr:row>
      <xdr:rowOff>85725</xdr:rowOff>
    </xdr:from>
    <xdr:to>
      <xdr:col>0</xdr:col>
      <xdr:colOff>819150</xdr:colOff>
      <xdr:row>3</xdr:row>
      <xdr:rowOff>161925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3825" y="85725"/>
          <a:ext cx="695325" cy="647700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327025</xdr:colOff>
      <xdr:row>0</xdr:row>
      <xdr:rowOff>19050</xdr:rowOff>
    </xdr:from>
    <xdr:to>
      <xdr:col>11</xdr:col>
      <xdr:colOff>292100</xdr:colOff>
      <xdr:row>3</xdr:row>
      <xdr:rowOff>85725</xdr:rowOff>
    </xdr:to>
    <xdr:pic>
      <xdr:nvPicPr>
        <xdr:cNvPr id="4" name="Picture 3" descr="Image result for jal jeevan mission logo">
          <a:extLst>
            <a:ext uri="{FF2B5EF4-FFF2-40B4-BE49-F238E27FC236}">
              <a16:creationId xmlns:a16="http://schemas.microsoft.com/office/drawing/2014/main" xmlns="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0471150" y="19050"/>
          <a:ext cx="755650" cy="638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485775</xdr:colOff>
      <xdr:row>0</xdr:row>
      <xdr:rowOff>0</xdr:rowOff>
    </xdr:from>
    <xdr:to>
      <xdr:col>7</xdr:col>
      <xdr:colOff>1388302</xdr:colOff>
      <xdr:row>3</xdr:row>
      <xdr:rowOff>166158</xdr:rowOff>
    </xdr:to>
    <xdr:pic>
      <xdr:nvPicPr>
        <xdr:cNvPr id="5" name="Picture 4" descr="Image result for MEDHAJ LOGO">
          <a:extLst>
            <a:ext uri="{FF2B5EF4-FFF2-40B4-BE49-F238E27FC236}">
              <a16:creationId xmlns:a16="http://schemas.microsoft.com/office/drawing/2014/main" xmlns="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124700" y="0"/>
          <a:ext cx="902335" cy="737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628650</xdr:colOff>
      <xdr:row>0</xdr:row>
      <xdr:rowOff>19050</xdr:rowOff>
    </xdr:from>
    <xdr:to>
      <xdr:col>9</xdr:col>
      <xdr:colOff>139012</xdr:colOff>
      <xdr:row>3</xdr:row>
      <xdr:rowOff>180975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xmlns="" id="{00000000-0008-0000-01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658225" y="19050"/>
          <a:ext cx="900430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54952</xdr:colOff>
      <xdr:row>1</xdr:row>
      <xdr:rowOff>33704</xdr:rowOff>
    </xdr:from>
    <xdr:ext cx="390525" cy="714375"/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13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54760" y="233680"/>
          <a:ext cx="390525" cy="714375"/>
        </a:xfrm>
        <a:prstGeom prst="rect">
          <a:avLst/>
        </a:prstGeom>
        <a:noFill/>
      </xdr:spPr>
    </xdr:pic>
    <xdr:clientData/>
  </xdr:oneCellAnchor>
  <xdr:oneCellAnchor>
    <xdr:from>
      <xdr:col>13</xdr:col>
      <xdr:colOff>58858</xdr:colOff>
      <xdr:row>1</xdr:row>
      <xdr:rowOff>7327</xdr:rowOff>
    </xdr:from>
    <xdr:ext cx="425451" cy="733375"/>
    <xdr:pic>
      <xdr:nvPicPr>
        <xdr:cNvPr id="3" name="Picture 2" descr="Image result for jal jeevan mission logo">
          <a:extLst>
            <a:ext uri="{FF2B5EF4-FFF2-40B4-BE49-F238E27FC236}">
              <a16:creationId xmlns:a16="http://schemas.microsoft.com/office/drawing/2014/main" xmlns="" id="{00000000-0008-0000-1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954645" y="207010"/>
          <a:ext cx="425450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120161</xdr:colOff>
      <xdr:row>1</xdr:row>
      <xdr:rowOff>14655</xdr:rowOff>
    </xdr:from>
    <xdr:ext cx="371475" cy="700770"/>
    <xdr:pic>
      <xdr:nvPicPr>
        <xdr:cNvPr id="4" name="Picture 3" descr="Image result for MEDHAJ LOGO">
          <a:extLst>
            <a:ext uri="{FF2B5EF4-FFF2-40B4-BE49-F238E27FC236}">
              <a16:creationId xmlns:a16="http://schemas.microsoft.com/office/drawing/2014/main" xmlns="" id="{00000000-0008-0000-13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816090" y="214630"/>
          <a:ext cx="371475" cy="7004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12</xdr:col>
      <xdr:colOff>230065</xdr:colOff>
      <xdr:row>1</xdr:row>
      <xdr:rowOff>21981</xdr:rowOff>
    </xdr:from>
    <xdr:ext cx="361950" cy="647700"/>
    <xdr:pic>
      <xdr:nvPicPr>
        <xdr:cNvPr id="5" name="Picture 4">
          <a:extLst>
            <a:ext uri="{FF2B5EF4-FFF2-40B4-BE49-F238E27FC236}">
              <a16:creationId xmlns:a16="http://schemas.microsoft.com/office/drawing/2014/main" xmlns="" id="{00000000-0008-0000-13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526020" y="221615"/>
          <a:ext cx="36195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110981</xdr:colOff>
      <xdr:row>57</xdr:row>
      <xdr:rowOff>33704</xdr:rowOff>
    </xdr:from>
    <xdr:ext cx="390525" cy="714375"/>
    <xdr:pic>
      <xdr:nvPicPr>
        <xdr:cNvPr id="6" name="Picture 5">
          <a:extLst>
            <a:ext uri="{FF2B5EF4-FFF2-40B4-BE49-F238E27FC236}">
              <a16:creationId xmlns:a16="http://schemas.microsoft.com/office/drawing/2014/main" xmlns="" id="{00000000-0008-0000-1300-000006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321216" y="11586969"/>
          <a:ext cx="390525" cy="714375"/>
        </a:xfrm>
        <a:prstGeom prst="rect">
          <a:avLst/>
        </a:prstGeom>
        <a:noFill/>
      </xdr:spPr>
    </xdr:pic>
    <xdr:clientData/>
  </xdr:oneCellAnchor>
  <xdr:oneCellAnchor>
    <xdr:from>
      <xdr:col>13</xdr:col>
      <xdr:colOff>114887</xdr:colOff>
      <xdr:row>57</xdr:row>
      <xdr:rowOff>7327</xdr:rowOff>
    </xdr:from>
    <xdr:ext cx="425451" cy="733375"/>
    <xdr:pic>
      <xdr:nvPicPr>
        <xdr:cNvPr id="7" name="Picture 6" descr="Image result for jal jeevan mission logo">
          <a:extLst>
            <a:ext uri="{FF2B5EF4-FFF2-40B4-BE49-F238E27FC236}">
              <a16:creationId xmlns:a16="http://schemas.microsoft.com/office/drawing/2014/main" xmlns="" id="{00000000-0008-0000-13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071063" y="11560592"/>
          <a:ext cx="425451" cy="7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120161</xdr:colOff>
      <xdr:row>57</xdr:row>
      <xdr:rowOff>14655</xdr:rowOff>
    </xdr:from>
    <xdr:ext cx="371475" cy="700770"/>
    <xdr:pic>
      <xdr:nvPicPr>
        <xdr:cNvPr id="8" name="Picture 7" descr="Image result for MEDHAJ LOGO">
          <a:extLst>
            <a:ext uri="{FF2B5EF4-FFF2-40B4-BE49-F238E27FC236}">
              <a16:creationId xmlns:a16="http://schemas.microsoft.com/office/drawing/2014/main" xmlns="" id="{00000000-0008-0000-13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816090" y="12330430"/>
          <a:ext cx="371475" cy="7004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12</xdr:col>
      <xdr:colOff>129212</xdr:colOff>
      <xdr:row>57</xdr:row>
      <xdr:rowOff>66804</xdr:rowOff>
    </xdr:from>
    <xdr:ext cx="361950" cy="647700"/>
    <xdr:pic>
      <xdr:nvPicPr>
        <xdr:cNvPr id="9" name="Picture 8">
          <a:extLst>
            <a:ext uri="{FF2B5EF4-FFF2-40B4-BE49-F238E27FC236}">
              <a16:creationId xmlns:a16="http://schemas.microsoft.com/office/drawing/2014/main" xmlns="" id="{00000000-0008-0000-13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480271" y="11620069"/>
          <a:ext cx="36195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54952</xdr:colOff>
      <xdr:row>102</xdr:row>
      <xdr:rowOff>33704</xdr:rowOff>
    </xdr:from>
    <xdr:ext cx="390525" cy="714375"/>
    <xdr:pic>
      <xdr:nvPicPr>
        <xdr:cNvPr id="10" name="Picture 9">
          <a:extLst>
            <a:ext uri="{FF2B5EF4-FFF2-40B4-BE49-F238E27FC236}">
              <a16:creationId xmlns:a16="http://schemas.microsoft.com/office/drawing/2014/main" xmlns="" id="{00000000-0008-0000-1300-00000A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54760" y="21798280"/>
          <a:ext cx="390525" cy="714375"/>
        </a:xfrm>
        <a:prstGeom prst="rect">
          <a:avLst/>
        </a:prstGeom>
        <a:noFill/>
      </xdr:spPr>
    </xdr:pic>
    <xdr:clientData/>
  </xdr:oneCellAnchor>
  <xdr:oneCellAnchor>
    <xdr:from>
      <xdr:col>13</xdr:col>
      <xdr:colOff>58858</xdr:colOff>
      <xdr:row>102</xdr:row>
      <xdr:rowOff>7327</xdr:rowOff>
    </xdr:from>
    <xdr:ext cx="425451" cy="733375"/>
    <xdr:pic>
      <xdr:nvPicPr>
        <xdr:cNvPr id="11" name="Picture 10" descr="Image result for jal jeevan mission logo">
          <a:extLst>
            <a:ext uri="{FF2B5EF4-FFF2-40B4-BE49-F238E27FC236}">
              <a16:creationId xmlns:a16="http://schemas.microsoft.com/office/drawing/2014/main" xmlns="" id="{00000000-0008-0000-13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954645" y="21771610"/>
          <a:ext cx="425450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120161</xdr:colOff>
      <xdr:row>102</xdr:row>
      <xdr:rowOff>14655</xdr:rowOff>
    </xdr:from>
    <xdr:ext cx="371475" cy="700770"/>
    <xdr:pic>
      <xdr:nvPicPr>
        <xdr:cNvPr id="12" name="Picture 11" descr="Image result for MEDHAJ LOGO">
          <a:extLst>
            <a:ext uri="{FF2B5EF4-FFF2-40B4-BE49-F238E27FC236}">
              <a16:creationId xmlns:a16="http://schemas.microsoft.com/office/drawing/2014/main" xmlns="" id="{00000000-0008-0000-13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816090" y="21779230"/>
          <a:ext cx="371475" cy="7004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12</xdr:col>
      <xdr:colOff>230065</xdr:colOff>
      <xdr:row>102</xdr:row>
      <xdr:rowOff>21981</xdr:rowOff>
    </xdr:from>
    <xdr:ext cx="361950" cy="647700"/>
    <xdr:pic>
      <xdr:nvPicPr>
        <xdr:cNvPr id="13" name="Picture 12">
          <a:extLst>
            <a:ext uri="{FF2B5EF4-FFF2-40B4-BE49-F238E27FC236}">
              <a16:creationId xmlns:a16="http://schemas.microsoft.com/office/drawing/2014/main" xmlns="" id="{00000000-0008-0000-13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526020" y="21786215"/>
          <a:ext cx="36195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54952</xdr:colOff>
      <xdr:row>157</xdr:row>
      <xdr:rowOff>33704</xdr:rowOff>
    </xdr:from>
    <xdr:ext cx="390525" cy="714375"/>
    <xdr:pic>
      <xdr:nvPicPr>
        <xdr:cNvPr id="14" name="Picture 13">
          <a:extLst>
            <a:ext uri="{FF2B5EF4-FFF2-40B4-BE49-F238E27FC236}">
              <a16:creationId xmlns:a16="http://schemas.microsoft.com/office/drawing/2014/main" xmlns="" id="{00000000-0008-0000-1300-00000E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54760" y="34676080"/>
          <a:ext cx="390525" cy="714375"/>
        </a:xfrm>
        <a:prstGeom prst="rect">
          <a:avLst/>
        </a:prstGeom>
        <a:noFill/>
      </xdr:spPr>
    </xdr:pic>
    <xdr:clientData/>
  </xdr:oneCellAnchor>
  <xdr:oneCellAnchor>
    <xdr:from>
      <xdr:col>13</xdr:col>
      <xdr:colOff>58858</xdr:colOff>
      <xdr:row>157</xdr:row>
      <xdr:rowOff>7327</xdr:rowOff>
    </xdr:from>
    <xdr:ext cx="425451" cy="733375"/>
    <xdr:pic>
      <xdr:nvPicPr>
        <xdr:cNvPr id="15" name="Picture 14" descr="Image result for jal jeevan mission logo">
          <a:extLst>
            <a:ext uri="{FF2B5EF4-FFF2-40B4-BE49-F238E27FC236}">
              <a16:creationId xmlns:a16="http://schemas.microsoft.com/office/drawing/2014/main" xmlns="" id="{00000000-0008-0000-13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954645" y="34649410"/>
          <a:ext cx="425450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120161</xdr:colOff>
      <xdr:row>157</xdr:row>
      <xdr:rowOff>14655</xdr:rowOff>
    </xdr:from>
    <xdr:ext cx="371475" cy="700770"/>
    <xdr:pic>
      <xdr:nvPicPr>
        <xdr:cNvPr id="16" name="Picture 15" descr="Image result for MEDHAJ LOGO">
          <a:extLst>
            <a:ext uri="{FF2B5EF4-FFF2-40B4-BE49-F238E27FC236}">
              <a16:creationId xmlns:a16="http://schemas.microsoft.com/office/drawing/2014/main" xmlns="" id="{00000000-0008-0000-13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816090" y="34657030"/>
          <a:ext cx="371475" cy="7004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12</xdr:col>
      <xdr:colOff>230065</xdr:colOff>
      <xdr:row>157</xdr:row>
      <xdr:rowOff>21981</xdr:rowOff>
    </xdr:from>
    <xdr:ext cx="361950" cy="647700"/>
    <xdr:pic>
      <xdr:nvPicPr>
        <xdr:cNvPr id="17" name="Picture 16">
          <a:extLst>
            <a:ext uri="{FF2B5EF4-FFF2-40B4-BE49-F238E27FC236}">
              <a16:creationId xmlns:a16="http://schemas.microsoft.com/office/drawing/2014/main" xmlns="" id="{00000000-0008-0000-13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526020" y="34664015"/>
          <a:ext cx="36195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54952</xdr:colOff>
      <xdr:row>215</xdr:row>
      <xdr:rowOff>33704</xdr:rowOff>
    </xdr:from>
    <xdr:ext cx="390525" cy="714375"/>
    <xdr:pic>
      <xdr:nvPicPr>
        <xdr:cNvPr id="18" name="Picture 17">
          <a:extLst>
            <a:ext uri="{FF2B5EF4-FFF2-40B4-BE49-F238E27FC236}">
              <a16:creationId xmlns:a16="http://schemas.microsoft.com/office/drawing/2014/main" xmlns="" id="{00000000-0008-0000-1300-00001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54760" y="46601380"/>
          <a:ext cx="390525" cy="714375"/>
        </a:xfrm>
        <a:prstGeom prst="rect">
          <a:avLst/>
        </a:prstGeom>
        <a:noFill/>
      </xdr:spPr>
    </xdr:pic>
    <xdr:clientData/>
  </xdr:oneCellAnchor>
  <xdr:oneCellAnchor>
    <xdr:from>
      <xdr:col>13</xdr:col>
      <xdr:colOff>58858</xdr:colOff>
      <xdr:row>215</xdr:row>
      <xdr:rowOff>7327</xdr:rowOff>
    </xdr:from>
    <xdr:ext cx="425451" cy="733375"/>
    <xdr:pic>
      <xdr:nvPicPr>
        <xdr:cNvPr id="19" name="Picture 18" descr="Image result for jal jeevan mission logo">
          <a:extLst>
            <a:ext uri="{FF2B5EF4-FFF2-40B4-BE49-F238E27FC236}">
              <a16:creationId xmlns:a16="http://schemas.microsoft.com/office/drawing/2014/main" xmlns="" id="{00000000-0008-0000-13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954645" y="46574710"/>
          <a:ext cx="425450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120161</xdr:colOff>
      <xdr:row>215</xdr:row>
      <xdr:rowOff>14655</xdr:rowOff>
    </xdr:from>
    <xdr:ext cx="371475" cy="700770"/>
    <xdr:pic>
      <xdr:nvPicPr>
        <xdr:cNvPr id="20" name="Picture 19" descr="Image result for MEDHAJ LOGO">
          <a:extLst>
            <a:ext uri="{FF2B5EF4-FFF2-40B4-BE49-F238E27FC236}">
              <a16:creationId xmlns:a16="http://schemas.microsoft.com/office/drawing/2014/main" xmlns="" id="{00000000-0008-0000-13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816090" y="46582330"/>
          <a:ext cx="371475" cy="7004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12</xdr:col>
      <xdr:colOff>230065</xdr:colOff>
      <xdr:row>215</xdr:row>
      <xdr:rowOff>21981</xdr:rowOff>
    </xdr:from>
    <xdr:ext cx="361950" cy="647700"/>
    <xdr:pic>
      <xdr:nvPicPr>
        <xdr:cNvPr id="21" name="Picture 20">
          <a:extLst>
            <a:ext uri="{FF2B5EF4-FFF2-40B4-BE49-F238E27FC236}">
              <a16:creationId xmlns:a16="http://schemas.microsoft.com/office/drawing/2014/main" xmlns="" id="{00000000-0008-0000-13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526020" y="46589315"/>
          <a:ext cx="36195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54952</xdr:colOff>
      <xdr:row>297</xdr:row>
      <xdr:rowOff>33704</xdr:rowOff>
    </xdr:from>
    <xdr:ext cx="390525" cy="714375"/>
    <xdr:pic>
      <xdr:nvPicPr>
        <xdr:cNvPr id="22" name="Picture 21">
          <a:extLst>
            <a:ext uri="{FF2B5EF4-FFF2-40B4-BE49-F238E27FC236}">
              <a16:creationId xmlns:a16="http://schemas.microsoft.com/office/drawing/2014/main" xmlns="" id="{00000000-0008-0000-1300-000016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54760" y="67861180"/>
          <a:ext cx="390525" cy="714375"/>
        </a:xfrm>
        <a:prstGeom prst="rect">
          <a:avLst/>
        </a:prstGeom>
        <a:noFill/>
      </xdr:spPr>
    </xdr:pic>
    <xdr:clientData/>
  </xdr:oneCellAnchor>
  <xdr:oneCellAnchor>
    <xdr:from>
      <xdr:col>13</xdr:col>
      <xdr:colOff>58858</xdr:colOff>
      <xdr:row>297</xdr:row>
      <xdr:rowOff>7327</xdr:rowOff>
    </xdr:from>
    <xdr:ext cx="425451" cy="733375"/>
    <xdr:pic>
      <xdr:nvPicPr>
        <xdr:cNvPr id="23" name="Picture 22" descr="Image result for jal jeevan mission logo">
          <a:extLst>
            <a:ext uri="{FF2B5EF4-FFF2-40B4-BE49-F238E27FC236}">
              <a16:creationId xmlns:a16="http://schemas.microsoft.com/office/drawing/2014/main" xmlns="" id="{00000000-0008-0000-13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954645" y="67834510"/>
          <a:ext cx="425450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120161</xdr:colOff>
      <xdr:row>297</xdr:row>
      <xdr:rowOff>14655</xdr:rowOff>
    </xdr:from>
    <xdr:ext cx="371475" cy="700770"/>
    <xdr:pic>
      <xdr:nvPicPr>
        <xdr:cNvPr id="24" name="Picture 23" descr="Image result for MEDHAJ LOGO">
          <a:extLst>
            <a:ext uri="{FF2B5EF4-FFF2-40B4-BE49-F238E27FC236}">
              <a16:creationId xmlns:a16="http://schemas.microsoft.com/office/drawing/2014/main" xmlns="" id="{00000000-0008-0000-13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816090" y="67842130"/>
          <a:ext cx="371475" cy="7004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12</xdr:col>
      <xdr:colOff>230065</xdr:colOff>
      <xdr:row>297</xdr:row>
      <xdr:rowOff>21981</xdr:rowOff>
    </xdr:from>
    <xdr:ext cx="361950" cy="647700"/>
    <xdr:pic>
      <xdr:nvPicPr>
        <xdr:cNvPr id="25" name="Picture 24">
          <a:extLst>
            <a:ext uri="{FF2B5EF4-FFF2-40B4-BE49-F238E27FC236}">
              <a16:creationId xmlns:a16="http://schemas.microsoft.com/office/drawing/2014/main" xmlns="" id="{00000000-0008-0000-1300-00001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526020" y="67849115"/>
          <a:ext cx="36195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54952</xdr:colOff>
      <xdr:row>382</xdr:row>
      <xdr:rowOff>33704</xdr:rowOff>
    </xdr:from>
    <xdr:ext cx="390525" cy="714375"/>
    <xdr:pic>
      <xdr:nvPicPr>
        <xdr:cNvPr id="26" name="Picture 25">
          <a:extLst>
            <a:ext uri="{FF2B5EF4-FFF2-40B4-BE49-F238E27FC236}">
              <a16:creationId xmlns:a16="http://schemas.microsoft.com/office/drawing/2014/main" xmlns="" id="{00000000-0008-0000-1300-00001A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54760" y="79024480"/>
          <a:ext cx="390525" cy="714375"/>
        </a:xfrm>
        <a:prstGeom prst="rect">
          <a:avLst/>
        </a:prstGeom>
        <a:noFill/>
      </xdr:spPr>
    </xdr:pic>
    <xdr:clientData/>
  </xdr:oneCellAnchor>
  <xdr:oneCellAnchor>
    <xdr:from>
      <xdr:col>13</xdr:col>
      <xdr:colOff>58858</xdr:colOff>
      <xdr:row>382</xdr:row>
      <xdr:rowOff>7327</xdr:rowOff>
    </xdr:from>
    <xdr:ext cx="425451" cy="733375"/>
    <xdr:pic>
      <xdr:nvPicPr>
        <xdr:cNvPr id="27" name="Picture 26" descr="Image result for jal jeevan mission logo">
          <a:extLst>
            <a:ext uri="{FF2B5EF4-FFF2-40B4-BE49-F238E27FC236}">
              <a16:creationId xmlns:a16="http://schemas.microsoft.com/office/drawing/2014/main" xmlns="" id="{00000000-0008-0000-13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954645" y="78997810"/>
          <a:ext cx="425450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120161</xdr:colOff>
      <xdr:row>382</xdr:row>
      <xdr:rowOff>14655</xdr:rowOff>
    </xdr:from>
    <xdr:ext cx="371475" cy="700770"/>
    <xdr:pic>
      <xdr:nvPicPr>
        <xdr:cNvPr id="28" name="Picture 27" descr="Image result for MEDHAJ LOGO">
          <a:extLst>
            <a:ext uri="{FF2B5EF4-FFF2-40B4-BE49-F238E27FC236}">
              <a16:creationId xmlns:a16="http://schemas.microsoft.com/office/drawing/2014/main" xmlns="" id="{00000000-0008-0000-13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816090" y="79005430"/>
          <a:ext cx="371475" cy="7004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12</xdr:col>
      <xdr:colOff>230065</xdr:colOff>
      <xdr:row>382</xdr:row>
      <xdr:rowOff>21981</xdr:rowOff>
    </xdr:from>
    <xdr:ext cx="361950" cy="647700"/>
    <xdr:pic>
      <xdr:nvPicPr>
        <xdr:cNvPr id="29" name="Picture 28">
          <a:extLst>
            <a:ext uri="{FF2B5EF4-FFF2-40B4-BE49-F238E27FC236}">
              <a16:creationId xmlns:a16="http://schemas.microsoft.com/office/drawing/2014/main" xmlns="" id="{00000000-0008-0000-13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526020" y="79012415"/>
          <a:ext cx="36195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121285</xdr:colOff>
      <xdr:row>2</xdr:row>
      <xdr:rowOff>33655</xdr:rowOff>
    </xdr:from>
    <xdr:ext cx="390525" cy="714375"/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14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340485" y="424180"/>
          <a:ext cx="390525" cy="714375"/>
        </a:xfrm>
        <a:prstGeom prst="rect">
          <a:avLst/>
        </a:prstGeom>
        <a:noFill/>
      </xdr:spPr>
    </xdr:pic>
    <xdr:clientData/>
  </xdr:oneCellAnchor>
  <xdr:oneCellAnchor>
    <xdr:from>
      <xdr:col>13</xdr:col>
      <xdr:colOff>96520</xdr:colOff>
      <xdr:row>2</xdr:row>
      <xdr:rowOff>6985</xdr:rowOff>
    </xdr:from>
    <xdr:ext cx="425451" cy="733375"/>
    <xdr:pic>
      <xdr:nvPicPr>
        <xdr:cNvPr id="3" name="Picture 2" descr="Image result for jal jeevan mission logo">
          <a:extLst>
            <a:ext uri="{FF2B5EF4-FFF2-40B4-BE49-F238E27FC236}">
              <a16:creationId xmlns:a16="http://schemas.microsoft.com/office/drawing/2014/main" xmlns="" id="{00000000-0008-0000-1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307070" y="397510"/>
          <a:ext cx="425450" cy="732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120161</xdr:colOff>
      <xdr:row>2</xdr:row>
      <xdr:rowOff>14655</xdr:rowOff>
    </xdr:from>
    <xdr:ext cx="371475" cy="700770"/>
    <xdr:pic>
      <xdr:nvPicPr>
        <xdr:cNvPr id="4" name="Picture 3" descr="Image result for MEDHAJ LOGO">
          <a:extLst>
            <a:ext uri="{FF2B5EF4-FFF2-40B4-BE49-F238E27FC236}">
              <a16:creationId xmlns:a16="http://schemas.microsoft.com/office/drawing/2014/main" xmlns="" id="{00000000-0008-0000-14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949440" y="405130"/>
          <a:ext cx="371475" cy="7004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12</xdr:col>
      <xdr:colOff>153670</xdr:colOff>
      <xdr:row>2</xdr:row>
      <xdr:rowOff>31115</xdr:rowOff>
    </xdr:from>
    <xdr:ext cx="361950" cy="647700"/>
    <xdr:pic>
      <xdr:nvPicPr>
        <xdr:cNvPr id="5" name="Picture 4">
          <a:extLst>
            <a:ext uri="{FF2B5EF4-FFF2-40B4-BE49-F238E27FC236}">
              <a16:creationId xmlns:a16="http://schemas.microsoft.com/office/drawing/2014/main" xmlns="" id="{00000000-0008-0000-14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592695" y="421640"/>
          <a:ext cx="36195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54952</xdr:colOff>
      <xdr:row>82</xdr:row>
      <xdr:rowOff>33704</xdr:rowOff>
    </xdr:from>
    <xdr:ext cx="390525" cy="714375"/>
    <xdr:pic>
      <xdr:nvPicPr>
        <xdr:cNvPr id="6" name="Picture 5">
          <a:extLst>
            <a:ext uri="{FF2B5EF4-FFF2-40B4-BE49-F238E27FC236}">
              <a16:creationId xmlns:a16="http://schemas.microsoft.com/office/drawing/2014/main" xmlns="" id="{00000000-0008-0000-1400-000006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73810" y="15968980"/>
          <a:ext cx="390525" cy="714375"/>
        </a:xfrm>
        <a:prstGeom prst="rect">
          <a:avLst/>
        </a:prstGeom>
        <a:noFill/>
      </xdr:spPr>
    </xdr:pic>
    <xdr:clientData/>
  </xdr:oneCellAnchor>
  <xdr:oneCellAnchor>
    <xdr:from>
      <xdr:col>13</xdr:col>
      <xdr:colOff>58858</xdr:colOff>
      <xdr:row>82</xdr:row>
      <xdr:rowOff>7327</xdr:rowOff>
    </xdr:from>
    <xdr:ext cx="425451" cy="733375"/>
    <xdr:pic>
      <xdr:nvPicPr>
        <xdr:cNvPr id="7" name="Picture 6" descr="Image result for jal jeevan mission logo">
          <a:extLst>
            <a:ext uri="{FF2B5EF4-FFF2-40B4-BE49-F238E27FC236}">
              <a16:creationId xmlns:a16="http://schemas.microsoft.com/office/drawing/2014/main" xmlns="" id="{00000000-0008-0000-14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268970" y="15942310"/>
          <a:ext cx="425450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120161</xdr:colOff>
      <xdr:row>82</xdr:row>
      <xdr:rowOff>14655</xdr:rowOff>
    </xdr:from>
    <xdr:ext cx="371475" cy="700770"/>
    <xdr:pic>
      <xdr:nvPicPr>
        <xdr:cNvPr id="8" name="Picture 7" descr="Image result for MEDHAJ LOGO">
          <a:extLst>
            <a:ext uri="{FF2B5EF4-FFF2-40B4-BE49-F238E27FC236}">
              <a16:creationId xmlns:a16="http://schemas.microsoft.com/office/drawing/2014/main" xmlns="" id="{00000000-0008-0000-14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949440" y="15949930"/>
          <a:ext cx="371475" cy="7004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12</xdr:col>
      <xdr:colOff>230065</xdr:colOff>
      <xdr:row>82</xdr:row>
      <xdr:rowOff>21981</xdr:rowOff>
    </xdr:from>
    <xdr:ext cx="361950" cy="647700"/>
    <xdr:pic>
      <xdr:nvPicPr>
        <xdr:cNvPr id="9" name="Picture 8">
          <a:extLst>
            <a:ext uri="{FF2B5EF4-FFF2-40B4-BE49-F238E27FC236}">
              <a16:creationId xmlns:a16="http://schemas.microsoft.com/office/drawing/2014/main" xmlns="" id="{00000000-0008-0000-14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668895" y="15956915"/>
          <a:ext cx="36195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54952</xdr:colOff>
      <xdr:row>153</xdr:row>
      <xdr:rowOff>33704</xdr:rowOff>
    </xdr:from>
    <xdr:ext cx="390525" cy="714375"/>
    <xdr:pic>
      <xdr:nvPicPr>
        <xdr:cNvPr id="10" name="Picture 9">
          <a:extLst>
            <a:ext uri="{FF2B5EF4-FFF2-40B4-BE49-F238E27FC236}">
              <a16:creationId xmlns:a16="http://schemas.microsoft.com/office/drawing/2014/main" xmlns="" id="{00000000-0008-0000-1400-00000A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73810" y="29799280"/>
          <a:ext cx="390525" cy="714375"/>
        </a:xfrm>
        <a:prstGeom prst="rect">
          <a:avLst/>
        </a:prstGeom>
        <a:noFill/>
      </xdr:spPr>
    </xdr:pic>
    <xdr:clientData/>
  </xdr:oneCellAnchor>
  <xdr:oneCellAnchor>
    <xdr:from>
      <xdr:col>13</xdr:col>
      <xdr:colOff>58858</xdr:colOff>
      <xdr:row>153</xdr:row>
      <xdr:rowOff>7327</xdr:rowOff>
    </xdr:from>
    <xdr:ext cx="425451" cy="733375"/>
    <xdr:pic>
      <xdr:nvPicPr>
        <xdr:cNvPr id="11" name="Picture 10" descr="Image result for jal jeevan mission logo">
          <a:extLst>
            <a:ext uri="{FF2B5EF4-FFF2-40B4-BE49-F238E27FC236}">
              <a16:creationId xmlns:a16="http://schemas.microsoft.com/office/drawing/2014/main" xmlns="" id="{00000000-0008-0000-14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268970" y="29772610"/>
          <a:ext cx="425450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120161</xdr:colOff>
      <xdr:row>153</xdr:row>
      <xdr:rowOff>14655</xdr:rowOff>
    </xdr:from>
    <xdr:ext cx="371475" cy="700770"/>
    <xdr:pic>
      <xdr:nvPicPr>
        <xdr:cNvPr id="12" name="Picture 11" descr="Image result for MEDHAJ LOGO">
          <a:extLst>
            <a:ext uri="{FF2B5EF4-FFF2-40B4-BE49-F238E27FC236}">
              <a16:creationId xmlns:a16="http://schemas.microsoft.com/office/drawing/2014/main" xmlns="" id="{00000000-0008-0000-14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949440" y="29780230"/>
          <a:ext cx="371475" cy="7004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12</xdr:col>
      <xdr:colOff>230065</xdr:colOff>
      <xdr:row>153</xdr:row>
      <xdr:rowOff>21981</xdr:rowOff>
    </xdr:from>
    <xdr:ext cx="361950" cy="647700"/>
    <xdr:pic>
      <xdr:nvPicPr>
        <xdr:cNvPr id="13" name="Picture 12">
          <a:extLst>
            <a:ext uri="{FF2B5EF4-FFF2-40B4-BE49-F238E27FC236}">
              <a16:creationId xmlns:a16="http://schemas.microsoft.com/office/drawing/2014/main" xmlns="" id="{00000000-0008-0000-14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668895" y="29787215"/>
          <a:ext cx="36195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121285</xdr:colOff>
      <xdr:row>3</xdr:row>
      <xdr:rowOff>33655</xdr:rowOff>
    </xdr:from>
    <xdr:ext cx="390525" cy="714375"/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14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340485" y="414655"/>
          <a:ext cx="390525" cy="714375"/>
        </a:xfrm>
        <a:prstGeom prst="rect">
          <a:avLst/>
        </a:prstGeom>
        <a:noFill/>
      </xdr:spPr>
    </xdr:pic>
    <xdr:clientData/>
  </xdr:oneCellAnchor>
  <xdr:oneCellAnchor>
    <xdr:from>
      <xdr:col>13</xdr:col>
      <xdr:colOff>115570</xdr:colOff>
      <xdr:row>3</xdr:row>
      <xdr:rowOff>26035</xdr:rowOff>
    </xdr:from>
    <xdr:ext cx="425451" cy="733375"/>
    <xdr:pic>
      <xdr:nvPicPr>
        <xdr:cNvPr id="3" name="Picture 2" descr="Image result for jal jeevan mission logo">
          <a:extLst>
            <a:ext uri="{FF2B5EF4-FFF2-40B4-BE49-F238E27FC236}">
              <a16:creationId xmlns:a16="http://schemas.microsoft.com/office/drawing/2014/main" xmlns="" id="{00000000-0008-0000-1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040370" y="607060"/>
          <a:ext cx="425451" cy="7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120161</xdr:colOff>
      <xdr:row>3</xdr:row>
      <xdr:rowOff>14655</xdr:rowOff>
    </xdr:from>
    <xdr:ext cx="371475" cy="700770"/>
    <xdr:pic>
      <xdr:nvPicPr>
        <xdr:cNvPr id="4" name="Picture 3" descr="Image result for MEDHAJ LOGO">
          <a:extLst>
            <a:ext uri="{FF2B5EF4-FFF2-40B4-BE49-F238E27FC236}">
              <a16:creationId xmlns:a16="http://schemas.microsoft.com/office/drawing/2014/main" xmlns="" id="{00000000-0008-0000-14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949586" y="395655"/>
          <a:ext cx="371475" cy="7007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12</xdr:col>
      <xdr:colOff>153670</xdr:colOff>
      <xdr:row>3</xdr:row>
      <xdr:rowOff>97790</xdr:rowOff>
    </xdr:from>
    <xdr:ext cx="361950" cy="647700"/>
    <xdr:pic>
      <xdr:nvPicPr>
        <xdr:cNvPr id="5" name="Picture 4">
          <a:extLst>
            <a:ext uri="{FF2B5EF4-FFF2-40B4-BE49-F238E27FC236}">
              <a16:creationId xmlns:a16="http://schemas.microsoft.com/office/drawing/2014/main" xmlns="" id="{00000000-0008-0000-14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468870" y="678815"/>
          <a:ext cx="36195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121285</xdr:colOff>
      <xdr:row>75</xdr:row>
      <xdr:rowOff>33655</xdr:rowOff>
    </xdr:from>
    <xdr:ext cx="390525" cy="714375"/>
    <xdr:pic>
      <xdr:nvPicPr>
        <xdr:cNvPr id="6" name="Picture 5">
          <a:extLst>
            <a:ext uri="{FF2B5EF4-FFF2-40B4-BE49-F238E27FC236}">
              <a16:creationId xmlns:a16="http://schemas.microsoft.com/office/drawing/2014/main" xmlns="" id="{00000000-0008-0000-14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340485" y="614680"/>
          <a:ext cx="390525" cy="714375"/>
        </a:xfrm>
        <a:prstGeom prst="rect">
          <a:avLst/>
        </a:prstGeom>
        <a:noFill/>
      </xdr:spPr>
    </xdr:pic>
    <xdr:clientData/>
  </xdr:oneCellAnchor>
  <xdr:oneCellAnchor>
    <xdr:from>
      <xdr:col>13</xdr:col>
      <xdr:colOff>115570</xdr:colOff>
      <xdr:row>75</xdr:row>
      <xdr:rowOff>26035</xdr:rowOff>
    </xdr:from>
    <xdr:ext cx="425451" cy="733375"/>
    <xdr:pic>
      <xdr:nvPicPr>
        <xdr:cNvPr id="7" name="Picture 6" descr="Image result for jal jeevan mission logo">
          <a:extLst>
            <a:ext uri="{FF2B5EF4-FFF2-40B4-BE49-F238E27FC236}">
              <a16:creationId xmlns:a16="http://schemas.microsoft.com/office/drawing/2014/main" xmlns="" id="{00000000-0008-0000-1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040370" y="607060"/>
          <a:ext cx="425451" cy="7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120161</xdr:colOff>
      <xdr:row>75</xdr:row>
      <xdr:rowOff>14655</xdr:rowOff>
    </xdr:from>
    <xdr:ext cx="371475" cy="700770"/>
    <xdr:pic>
      <xdr:nvPicPr>
        <xdr:cNvPr id="8" name="Picture 7" descr="Image result for MEDHAJ LOGO">
          <a:extLst>
            <a:ext uri="{FF2B5EF4-FFF2-40B4-BE49-F238E27FC236}">
              <a16:creationId xmlns:a16="http://schemas.microsoft.com/office/drawing/2014/main" xmlns="" id="{00000000-0008-0000-14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825761" y="595680"/>
          <a:ext cx="371475" cy="7007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12</xdr:col>
      <xdr:colOff>153670</xdr:colOff>
      <xdr:row>75</xdr:row>
      <xdr:rowOff>97790</xdr:rowOff>
    </xdr:from>
    <xdr:ext cx="361950" cy="647700"/>
    <xdr:pic>
      <xdr:nvPicPr>
        <xdr:cNvPr id="9" name="Picture 8">
          <a:extLst>
            <a:ext uri="{FF2B5EF4-FFF2-40B4-BE49-F238E27FC236}">
              <a16:creationId xmlns:a16="http://schemas.microsoft.com/office/drawing/2014/main" xmlns="" id="{00000000-0008-0000-14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468870" y="678815"/>
          <a:ext cx="36195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121285</xdr:colOff>
      <xdr:row>145</xdr:row>
      <xdr:rowOff>33655</xdr:rowOff>
    </xdr:from>
    <xdr:ext cx="390525" cy="714375"/>
    <xdr:pic>
      <xdr:nvPicPr>
        <xdr:cNvPr id="10" name="Picture 9">
          <a:extLst>
            <a:ext uri="{FF2B5EF4-FFF2-40B4-BE49-F238E27FC236}">
              <a16:creationId xmlns:a16="http://schemas.microsoft.com/office/drawing/2014/main" xmlns="" id="{00000000-0008-0000-14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340485" y="16540480"/>
          <a:ext cx="390525" cy="714375"/>
        </a:xfrm>
        <a:prstGeom prst="rect">
          <a:avLst/>
        </a:prstGeom>
        <a:noFill/>
      </xdr:spPr>
    </xdr:pic>
    <xdr:clientData/>
  </xdr:oneCellAnchor>
  <xdr:oneCellAnchor>
    <xdr:from>
      <xdr:col>13</xdr:col>
      <xdr:colOff>115570</xdr:colOff>
      <xdr:row>145</xdr:row>
      <xdr:rowOff>26035</xdr:rowOff>
    </xdr:from>
    <xdr:ext cx="425451" cy="733375"/>
    <xdr:pic>
      <xdr:nvPicPr>
        <xdr:cNvPr id="11" name="Picture 10" descr="Image result for jal jeevan mission logo">
          <a:extLst>
            <a:ext uri="{FF2B5EF4-FFF2-40B4-BE49-F238E27FC236}">
              <a16:creationId xmlns:a16="http://schemas.microsoft.com/office/drawing/2014/main" xmlns="" id="{00000000-0008-0000-1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040370" y="16532860"/>
          <a:ext cx="425451" cy="7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120161</xdr:colOff>
      <xdr:row>145</xdr:row>
      <xdr:rowOff>14655</xdr:rowOff>
    </xdr:from>
    <xdr:ext cx="371475" cy="700770"/>
    <xdr:pic>
      <xdr:nvPicPr>
        <xdr:cNvPr id="12" name="Picture 11" descr="Image result for MEDHAJ LOGO">
          <a:extLst>
            <a:ext uri="{FF2B5EF4-FFF2-40B4-BE49-F238E27FC236}">
              <a16:creationId xmlns:a16="http://schemas.microsoft.com/office/drawing/2014/main" xmlns="" id="{00000000-0008-0000-14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825761" y="16521480"/>
          <a:ext cx="371475" cy="7007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12</xdr:col>
      <xdr:colOff>153670</xdr:colOff>
      <xdr:row>145</xdr:row>
      <xdr:rowOff>97790</xdr:rowOff>
    </xdr:from>
    <xdr:ext cx="361950" cy="647700"/>
    <xdr:pic>
      <xdr:nvPicPr>
        <xdr:cNvPr id="13" name="Picture 12">
          <a:extLst>
            <a:ext uri="{FF2B5EF4-FFF2-40B4-BE49-F238E27FC236}">
              <a16:creationId xmlns:a16="http://schemas.microsoft.com/office/drawing/2014/main" xmlns="" id="{00000000-0008-0000-14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468870" y="16604615"/>
          <a:ext cx="36195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121285</xdr:colOff>
      <xdr:row>209</xdr:row>
      <xdr:rowOff>33655</xdr:rowOff>
    </xdr:from>
    <xdr:ext cx="390525" cy="714375"/>
    <xdr:pic>
      <xdr:nvPicPr>
        <xdr:cNvPr id="14" name="Picture 13">
          <a:extLst>
            <a:ext uri="{FF2B5EF4-FFF2-40B4-BE49-F238E27FC236}">
              <a16:creationId xmlns:a16="http://schemas.microsoft.com/office/drawing/2014/main" xmlns="" id="{00000000-0008-0000-14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340485" y="32466280"/>
          <a:ext cx="390525" cy="714375"/>
        </a:xfrm>
        <a:prstGeom prst="rect">
          <a:avLst/>
        </a:prstGeom>
        <a:noFill/>
      </xdr:spPr>
    </xdr:pic>
    <xdr:clientData/>
  </xdr:oneCellAnchor>
  <xdr:oneCellAnchor>
    <xdr:from>
      <xdr:col>13</xdr:col>
      <xdr:colOff>115570</xdr:colOff>
      <xdr:row>209</xdr:row>
      <xdr:rowOff>26035</xdr:rowOff>
    </xdr:from>
    <xdr:ext cx="425451" cy="733375"/>
    <xdr:pic>
      <xdr:nvPicPr>
        <xdr:cNvPr id="15" name="Picture 14" descr="Image result for jal jeevan mission logo">
          <a:extLst>
            <a:ext uri="{FF2B5EF4-FFF2-40B4-BE49-F238E27FC236}">
              <a16:creationId xmlns:a16="http://schemas.microsoft.com/office/drawing/2014/main" xmlns="" id="{00000000-0008-0000-1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040370" y="32458660"/>
          <a:ext cx="425451" cy="7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120161</xdr:colOff>
      <xdr:row>209</xdr:row>
      <xdr:rowOff>14655</xdr:rowOff>
    </xdr:from>
    <xdr:ext cx="371475" cy="700770"/>
    <xdr:pic>
      <xdr:nvPicPr>
        <xdr:cNvPr id="16" name="Picture 15" descr="Image result for MEDHAJ LOGO">
          <a:extLst>
            <a:ext uri="{FF2B5EF4-FFF2-40B4-BE49-F238E27FC236}">
              <a16:creationId xmlns:a16="http://schemas.microsoft.com/office/drawing/2014/main" xmlns="" id="{00000000-0008-0000-14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825761" y="32447280"/>
          <a:ext cx="371475" cy="7007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12</xdr:col>
      <xdr:colOff>153670</xdr:colOff>
      <xdr:row>209</xdr:row>
      <xdr:rowOff>97790</xdr:rowOff>
    </xdr:from>
    <xdr:ext cx="361950" cy="647700"/>
    <xdr:pic>
      <xdr:nvPicPr>
        <xdr:cNvPr id="17" name="Picture 16">
          <a:extLst>
            <a:ext uri="{FF2B5EF4-FFF2-40B4-BE49-F238E27FC236}">
              <a16:creationId xmlns:a16="http://schemas.microsoft.com/office/drawing/2014/main" xmlns="" id="{00000000-0008-0000-14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468870" y="32530415"/>
          <a:ext cx="36195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121285</xdr:colOff>
      <xdr:row>281</xdr:row>
      <xdr:rowOff>33655</xdr:rowOff>
    </xdr:from>
    <xdr:ext cx="390525" cy="714375"/>
    <xdr:pic>
      <xdr:nvPicPr>
        <xdr:cNvPr id="18" name="Picture 17">
          <a:extLst>
            <a:ext uri="{FF2B5EF4-FFF2-40B4-BE49-F238E27FC236}">
              <a16:creationId xmlns:a16="http://schemas.microsoft.com/office/drawing/2014/main" xmlns="" id="{00000000-0008-0000-14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340485" y="48392080"/>
          <a:ext cx="390525" cy="714375"/>
        </a:xfrm>
        <a:prstGeom prst="rect">
          <a:avLst/>
        </a:prstGeom>
        <a:noFill/>
      </xdr:spPr>
    </xdr:pic>
    <xdr:clientData/>
  </xdr:oneCellAnchor>
  <xdr:oneCellAnchor>
    <xdr:from>
      <xdr:col>13</xdr:col>
      <xdr:colOff>115570</xdr:colOff>
      <xdr:row>281</xdr:row>
      <xdr:rowOff>26035</xdr:rowOff>
    </xdr:from>
    <xdr:ext cx="425451" cy="733375"/>
    <xdr:pic>
      <xdr:nvPicPr>
        <xdr:cNvPr id="19" name="Picture 18" descr="Image result for jal jeevan mission logo">
          <a:extLst>
            <a:ext uri="{FF2B5EF4-FFF2-40B4-BE49-F238E27FC236}">
              <a16:creationId xmlns:a16="http://schemas.microsoft.com/office/drawing/2014/main" xmlns="" id="{00000000-0008-0000-1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040370" y="48384460"/>
          <a:ext cx="425451" cy="7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120161</xdr:colOff>
      <xdr:row>281</xdr:row>
      <xdr:rowOff>14655</xdr:rowOff>
    </xdr:from>
    <xdr:ext cx="371475" cy="700770"/>
    <xdr:pic>
      <xdr:nvPicPr>
        <xdr:cNvPr id="20" name="Picture 19" descr="Image result for MEDHAJ LOGO">
          <a:extLst>
            <a:ext uri="{FF2B5EF4-FFF2-40B4-BE49-F238E27FC236}">
              <a16:creationId xmlns:a16="http://schemas.microsoft.com/office/drawing/2014/main" xmlns="" id="{00000000-0008-0000-14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825761" y="48373080"/>
          <a:ext cx="371475" cy="7007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12</xdr:col>
      <xdr:colOff>153670</xdr:colOff>
      <xdr:row>281</xdr:row>
      <xdr:rowOff>97790</xdr:rowOff>
    </xdr:from>
    <xdr:ext cx="361950" cy="647700"/>
    <xdr:pic>
      <xdr:nvPicPr>
        <xdr:cNvPr id="21" name="Picture 20">
          <a:extLst>
            <a:ext uri="{FF2B5EF4-FFF2-40B4-BE49-F238E27FC236}">
              <a16:creationId xmlns:a16="http://schemas.microsoft.com/office/drawing/2014/main" xmlns="" id="{00000000-0008-0000-14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468870" y="48456215"/>
          <a:ext cx="36195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3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54952</xdr:colOff>
      <xdr:row>3</xdr:row>
      <xdr:rowOff>33704</xdr:rowOff>
    </xdr:from>
    <xdr:ext cx="390525" cy="714375"/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13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55102" y="224204"/>
          <a:ext cx="390525" cy="714375"/>
        </a:xfrm>
        <a:prstGeom prst="rect">
          <a:avLst/>
        </a:prstGeom>
        <a:noFill/>
      </xdr:spPr>
    </xdr:pic>
    <xdr:clientData/>
  </xdr:oneCellAnchor>
  <xdr:oneCellAnchor>
    <xdr:from>
      <xdr:col>13</xdr:col>
      <xdr:colOff>58858</xdr:colOff>
      <xdr:row>3</xdr:row>
      <xdr:rowOff>7327</xdr:rowOff>
    </xdr:from>
    <xdr:ext cx="425451" cy="733375"/>
    <xdr:pic>
      <xdr:nvPicPr>
        <xdr:cNvPr id="3" name="Picture 2" descr="Image result for jal jeevan mission logo">
          <a:extLst>
            <a:ext uri="{FF2B5EF4-FFF2-40B4-BE49-F238E27FC236}">
              <a16:creationId xmlns:a16="http://schemas.microsoft.com/office/drawing/2014/main" xmlns="" id="{00000000-0008-0000-1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955083" y="197827"/>
          <a:ext cx="425451" cy="7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120161</xdr:colOff>
      <xdr:row>3</xdr:row>
      <xdr:rowOff>14655</xdr:rowOff>
    </xdr:from>
    <xdr:ext cx="371475" cy="700770"/>
    <xdr:pic>
      <xdr:nvPicPr>
        <xdr:cNvPr id="4" name="Picture 3" descr="Image result for MEDHAJ LOGO">
          <a:extLst>
            <a:ext uri="{FF2B5EF4-FFF2-40B4-BE49-F238E27FC236}">
              <a16:creationId xmlns:a16="http://schemas.microsoft.com/office/drawing/2014/main" xmlns="" id="{00000000-0008-0000-13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816236" y="205155"/>
          <a:ext cx="371475" cy="7007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12</xdr:col>
      <xdr:colOff>230065</xdr:colOff>
      <xdr:row>3</xdr:row>
      <xdr:rowOff>21981</xdr:rowOff>
    </xdr:from>
    <xdr:ext cx="361950" cy="647700"/>
    <xdr:pic>
      <xdr:nvPicPr>
        <xdr:cNvPr id="5" name="Picture 4">
          <a:extLst>
            <a:ext uri="{FF2B5EF4-FFF2-40B4-BE49-F238E27FC236}">
              <a16:creationId xmlns:a16="http://schemas.microsoft.com/office/drawing/2014/main" xmlns="" id="{00000000-0008-0000-13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526215" y="212481"/>
          <a:ext cx="36195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54952</xdr:colOff>
      <xdr:row>57</xdr:row>
      <xdr:rowOff>33704</xdr:rowOff>
    </xdr:from>
    <xdr:ext cx="390525" cy="714375"/>
    <xdr:pic>
      <xdr:nvPicPr>
        <xdr:cNvPr id="6" name="Picture 5">
          <a:extLst>
            <a:ext uri="{FF2B5EF4-FFF2-40B4-BE49-F238E27FC236}">
              <a16:creationId xmlns:a16="http://schemas.microsoft.com/office/drawing/2014/main" xmlns="" id="{00000000-0008-0000-13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74152" y="614729"/>
          <a:ext cx="390525" cy="714375"/>
        </a:xfrm>
        <a:prstGeom prst="rect">
          <a:avLst/>
        </a:prstGeom>
        <a:noFill/>
      </xdr:spPr>
    </xdr:pic>
    <xdr:clientData/>
  </xdr:oneCellAnchor>
  <xdr:oneCellAnchor>
    <xdr:from>
      <xdr:col>13</xdr:col>
      <xdr:colOff>58858</xdr:colOff>
      <xdr:row>57</xdr:row>
      <xdr:rowOff>7327</xdr:rowOff>
    </xdr:from>
    <xdr:ext cx="425451" cy="733375"/>
    <xdr:pic>
      <xdr:nvPicPr>
        <xdr:cNvPr id="7" name="Picture 6" descr="Image result for jal jeevan mission logo">
          <a:extLst>
            <a:ext uri="{FF2B5EF4-FFF2-40B4-BE49-F238E27FC236}">
              <a16:creationId xmlns:a16="http://schemas.microsoft.com/office/drawing/2014/main" xmlns="" id="{00000000-0008-0000-1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983658" y="588352"/>
          <a:ext cx="425451" cy="7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120161</xdr:colOff>
      <xdr:row>57</xdr:row>
      <xdr:rowOff>14655</xdr:rowOff>
    </xdr:from>
    <xdr:ext cx="371475" cy="700770"/>
    <xdr:pic>
      <xdr:nvPicPr>
        <xdr:cNvPr id="8" name="Picture 7" descr="Image result for MEDHAJ LOGO">
          <a:extLst>
            <a:ext uri="{FF2B5EF4-FFF2-40B4-BE49-F238E27FC236}">
              <a16:creationId xmlns:a16="http://schemas.microsoft.com/office/drawing/2014/main" xmlns="" id="{00000000-0008-0000-13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825761" y="595680"/>
          <a:ext cx="371475" cy="7007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12</xdr:col>
      <xdr:colOff>230065</xdr:colOff>
      <xdr:row>57</xdr:row>
      <xdr:rowOff>21981</xdr:rowOff>
    </xdr:from>
    <xdr:ext cx="361950" cy="647700"/>
    <xdr:pic>
      <xdr:nvPicPr>
        <xdr:cNvPr id="9" name="Picture 8">
          <a:extLst>
            <a:ext uri="{FF2B5EF4-FFF2-40B4-BE49-F238E27FC236}">
              <a16:creationId xmlns:a16="http://schemas.microsoft.com/office/drawing/2014/main" xmlns="" id="{00000000-0008-0000-13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545265" y="603006"/>
          <a:ext cx="36195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54952</xdr:colOff>
      <xdr:row>117</xdr:row>
      <xdr:rowOff>33704</xdr:rowOff>
    </xdr:from>
    <xdr:ext cx="390525" cy="714375"/>
    <xdr:pic>
      <xdr:nvPicPr>
        <xdr:cNvPr id="10" name="Picture 9">
          <a:extLst>
            <a:ext uri="{FF2B5EF4-FFF2-40B4-BE49-F238E27FC236}">
              <a16:creationId xmlns:a16="http://schemas.microsoft.com/office/drawing/2014/main" xmlns="" id="{00000000-0008-0000-13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74152" y="614729"/>
          <a:ext cx="390525" cy="714375"/>
        </a:xfrm>
        <a:prstGeom prst="rect">
          <a:avLst/>
        </a:prstGeom>
        <a:noFill/>
      </xdr:spPr>
    </xdr:pic>
    <xdr:clientData/>
  </xdr:oneCellAnchor>
  <xdr:oneCellAnchor>
    <xdr:from>
      <xdr:col>13</xdr:col>
      <xdr:colOff>58858</xdr:colOff>
      <xdr:row>117</xdr:row>
      <xdr:rowOff>7327</xdr:rowOff>
    </xdr:from>
    <xdr:ext cx="425451" cy="733375"/>
    <xdr:pic>
      <xdr:nvPicPr>
        <xdr:cNvPr id="11" name="Picture 10" descr="Image result for jal jeevan mission logo">
          <a:extLst>
            <a:ext uri="{FF2B5EF4-FFF2-40B4-BE49-F238E27FC236}">
              <a16:creationId xmlns:a16="http://schemas.microsoft.com/office/drawing/2014/main" xmlns="" id="{00000000-0008-0000-1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983658" y="588352"/>
          <a:ext cx="425451" cy="7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120161</xdr:colOff>
      <xdr:row>117</xdr:row>
      <xdr:rowOff>14655</xdr:rowOff>
    </xdr:from>
    <xdr:ext cx="371475" cy="700770"/>
    <xdr:pic>
      <xdr:nvPicPr>
        <xdr:cNvPr id="12" name="Picture 11" descr="Image result for MEDHAJ LOGO">
          <a:extLst>
            <a:ext uri="{FF2B5EF4-FFF2-40B4-BE49-F238E27FC236}">
              <a16:creationId xmlns:a16="http://schemas.microsoft.com/office/drawing/2014/main" xmlns="" id="{00000000-0008-0000-13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825761" y="595680"/>
          <a:ext cx="371475" cy="7007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12</xdr:col>
      <xdr:colOff>230065</xdr:colOff>
      <xdr:row>117</xdr:row>
      <xdr:rowOff>21981</xdr:rowOff>
    </xdr:from>
    <xdr:ext cx="361950" cy="647700"/>
    <xdr:pic>
      <xdr:nvPicPr>
        <xdr:cNvPr id="13" name="Picture 12">
          <a:extLst>
            <a:ext uri="{FF2B5EF4-FFF2-40B4-BE49-F238E27FC236}">
              <a16:creationId xmlns:a16="http://schemas.microsoft.com/office/drawing/2014/main" xmlns="" id="{00000000-0008-0000-13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545265" y="603006"/>
          <a:ext cx="36195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54952</xdr:colOff>
      <xdr:row>193</xdr:row>
      <xdr:rowOff>33704</xdr:rowOff>
    </xdr:from>
    <xdr:ext cx="390525" cy="714375"/>
    <xdr:pic>
      <xdr:nvPicPr>
        <xdr:cNvPr id="14" name="Picture 13">
          <a:extLst>
            <a:ext uri="{FF2B5EF4-FFF2-40B4-BE49-F238E27FC236}">
              <a16:creationId xmlns:a16="http://schemas.microsoft.com/office/drawing/2014/main" xmlns="" id="{00000000-0008-0000-13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74152" y="614729"/>
          <a:ext cx="390525" cy="714375"/>
        </a:xfrm>
        <a:prstGeom prst="rect">
          <a:avLst/>
        </a:prstGeom>
        <a:noFill/>
      </xdr:spPr>
    </xdr:pic>
    <xdr:clientData/>
  </xdr:oneCellAnchor>
  <xdr:oneCellAnchor>
    <xdr:from>
      <xdr:col>13</xdr:col>
      <xdr:colOff>58858</xdr:colOff>
      <xdr:row>193</xdr:row>
      <xdr:rowOff>7327</xdr:rowOff>
    </xdr:from>
    <xdr:ext cx="425451" cy="733375"/>
    <xdr:pic>
      <xdr:nvPicPr>
        <xdr:cNvPr id="15" name="Picture 14" descr="Image result for jal jeevan mission logo">
          <a:extLst>
            <a:ext uri="{FF2B5EF4-FFF2-40B4-BE49-F238E27FC236}">
              <a16:creationId xmlns:a16="http://schemas.microsoft.com/office/drawing/2014/main" xmlns="" id="{00000000-0008-0000-1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983658" y="588352"/>
          <a:ext cx="425451" cy="7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120161</xdr:colOff>
      <xdr:row>193</xdr:row>
      <xdr:rowOff>14655</xdr:rowOff>
    </xdr:from>
    <xdr:ext cx="371475" cy="700770"/>
    <xdr:pic>
      <xdr:nvPicPr>
        <xdr:cNvPr id="16" name="Picture 15" descr="Image result for MEDHAJ LOGO">
          <a:extLst>
            <a:ext uri="{FF2B5EF4-FFF2-40B4-BE49-F238E27FC236}">
              <a16:creationId xmlns:a16="http://schemas.microsoft.com/office/drawing/2014/main" xmlns="" id="{00000000-0008-0000-13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825761" y="595680"/>
          <a:ext cx="371475" cy="7007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12</xdr:col>
      <xdr:colOff>230065</xdr:colOff>
      <xdr:row>193</xdr:row>
      <xdr:rowOff>21981</xdr:rowOff>
    </xdr:from>
    <xdr:ext cx="361950" cy="647700"/>
    <xdr:pic>
      <xdr:nvPicPr>
        <xdr:cNvPr id="17" name="Picture 16">
          <a:extLst>
            <a:ext uri="{FF2B5EF4-FFF2-40B4-BE49-F238E27FC236}">
              <a16:creationId xmlns:a16="http://schemas.microsoft.com/office/drawing/2014/main" xmlns="" id="{00000000-0008-0000-13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545265" y="603006"/>
          <a:ext cx="36195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4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54952</xdr:colOff>
      <xdr:row>4</xdr:row>
      <xdr:rowOff>33704</xdr:rowOff>
    </xdr:from>
    <xdr:ext cx="390525" cy="714375"/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13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74152" y="614729"/>
          <a:ext cx="390525" cy="714375"/>
        </a:xfrm>
        <a:prstGeom prst="rect">
          <a:avLst/>
        </a:prstGeom>
        <a:noFill/>
      </xdr:spPr>
    </xdr:pic>
    <xdr:clientData/>
  </xdr:oneCellAnchor>
  <xdr:oneCellAnchor>
    <xdr:from>
      <xdr:col>14</xdr:col>
      <xdr:colOff>58858</xdr:colOff>
      <xdr:row>4</xdr:row>
      <xdr:rowOff>7327</xdr:rowOff>
    </xdr:from>
    <xdr:ext cx="425451" cy="733375"/>
    <xdr:pic>
      <xdr:nvPicPr>
        <xdr:cNvPr id="3" name="Picture 2" descr="Image result for jal jeevan mission logo">
          <a:extLst>
            <a:ext uri="{FF2B5EF4-FFF2-40B4-BE49-F238E27FC236}">
              <a16:creationId xmlns:a16="http://schemas.microsoft.com/office/drawing/2014/main" xmlns="" id="{00000000-0008-0000-1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097958" y="588352"/>
          <a:ext cx="425451" cy="7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12</xdr:col>
      <xdr:colOff>120161</xdr:colOff>
      <xdr:row>4</xdr:row>
      <xdr:rowOff>14655</xdr:rowOff>
    </xdr:from>
    <xdr:ext cx="371475" cy="700770"/>
    <xdr:pic>
      <xdr:nvPicPr>
        <xdr:cNvPr id="4" name="Picture 3" descr="Image result for MEDHAJ LOGO">
          <a:extLst>
            <a:ext uri="{FF2B5EF4-FFF2-40B4-BE49-F238E27FC236}">
              <a16:creationId xmlns:a16="http://schemas.microsoft.com/office/drawing/2014/main" xmlns="" id="{00000000-0008-0000-13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940061" y="595680"/>
          <a:ext cx="371475" cy="7007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230065</xdr:colOff>
      <xdr:row>4</xdr:row>
      <xdr:rowOff>21981</xdr:rowOff>
    </xdr:from>
    <xdr:ext cx="361950" cy="647700"/>
    <xdr:pic>
      <xdr:nvPicPr>
        <xdr:cNvPr id="5" name="Picture 4">
          <a:extLst>
            <a:ext uri="{FF2B5EF4-FFF2-40B4-BE49-F238E27FC236}">
              <a16:creationId xmlns:a16="http://schemas.microsoft.com/office/drawing/2014/main" xmlns="" id="{00000000-0008-0000-13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659565" y="603006"/>
          <a:ext cx="36195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54952</xdr:colOff>
      <xdr:row>84</xdr:row>
      <xdr:rowOff>33704</xdr:rowOff>
    </xdr:from>
    <xdr:ext cx="390525" cy="714375"/>
    <xdr:pic>
      <xdr:nvPicPr>
        <xdr:cNvPr id="6" name="Picture 5">
          <a:extLst>
            <a:ext uri="{FF2B5EF4-FFF2-40B4-BE49-F238E27FC236}">
              <a16:creationId xmlns:a16="http://schemas.microsoft.com/office/drawing/2014/main" xmlns="" id="{00000000-0008-0000-13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883752" y="805229"/>
          <a:ext cx="390525" cy="714375"/>
        </a:xfrm>
        <a:prstGeom prst="rect">
          <a:avLst/>
        </a:prstGeom>
        <a:noFill/>
      </xdr:spPr>
    </xdr:pic>
    <xdr:clientData/>
  </xdr:oneCellAnchor>
  <xdr:oneCellAnchor>
    <xdr:from>
      <xdr:col>14</xdr:col>
      <xdr:colOff>58858</xdr:colOff>
      <xdr:row>84</xdr:row>
      <xdr:rowOff>7327</xdr:rowOff>
    </xdr:from>
    <xdr:ext cx="425451" cy="733375"/>
    <xdr:pic>
      <xdr:nvPicPr>
        <xdr:cNvPr id="7" name="Picture 6" descr="Image result for jal jeevan mission logo">
          <a:extLst>
            <a:ext uri="{FF2B5EF4-FFF2-40B4-BE49-F238E27FC236}">
              <a16:creationId xmlns:a16="http://schemas.microsoft.com/office/drawing/2014/main" xmlns="" id="{00000000-0008-0000-1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593258" y="778852"/>
          <a:ext cx="425451" cy="7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12</xdr:col>
      <xdr:colOff>120161</xdr:colOff>
      <xdr:row>84</xdr:row>
      <xdr:rowOff>14655</xdr:rowOff>
    </xdr:from>
    <xdr:ext cx="371475" cy="700770"/>
    <xdr:pic>
      <xdr:nvPicPr>
        <xdr:cNvPr id="8" name="Picture 7" descr="Image result for MEDHAJ LOGO">
          <a:extLst>
            <a:ext uri="{FF2B5EF4-FFF2-40B4-BE49-F238E27FC236}">
              <a16:creationId xmlns:a16="http://schemas.microsoft.com/office/drawing/2014/main" xmlns="" id="{00000000-0008-0000-13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435361" y="786180"/>
          <a:ext cx="371475" cy="7007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230065</xdr:colOff>
      <xdr:row>84</xdr:row>
      <xdr:rowOff>21981</xdr:rowOff>
    </xdr:from>
    <xdr:ext cx="361950" cy="647700"/>
    <xdr:pic>
      <xdr:nvPicPr>
        <xdr:cNvPr id="9" name="Picture 8">
          <a:extLst>
            <a:ext uri="{FF2B5EF4-FFF2-40B4-BE49-F238E27FC236}">
              <a16:creationId xmlns:a16="http://schemas.microsoft.com/office/drawing/2014/main" xmlns="" id="{00000000-0008-0000-13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154865" y="793506"/>
          <a:ext cx="36195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54952</xdr:colOff>
      <xdr:row>148</xdr:row>
      <xdr:rowOff>33704</xdr:rowOff>
    </xdr:from>
    <xdr:ext cx="390525" cy="714375"/>
    <xdr:pic>
      <xdr:nvPicPr>
        <xdr:cNvPr id="10" name="Picture 9">
          <a:extLst>
            <a:ext uri="{FF2B5EF4-FFF2-40B4-BE49-F238E27FC236}">
              <a16:creationId xmlns:a16="http://schemas.microsoft.com/office/drawing/2014/main" xmlns="" id="{00000000-0008-0000-13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883752" y="16854854"/>
          <a:ext cx="390525" cy="714375"/>
        </a:xfrm>
        <a:prstGeom prst="rect">
          <a:avLst/>
        </a:prstGeom>
        <a:noFill/>
      </xdr:spPr>
    </xdr:pic>
    <xdr:clientData/>
  </xdr:oneCellAnchor>
  <xdr:oneCellAnchor>
    <xdr:from>
      <xdr:col>14</xdr:col>
      <xdr:colOff>58858</xdr:colOff>
      <xdr:row>148</xdr:row>
      <xdr:rowOff>7327</xdr:rowOff>
    </xdr:from>
    <xdr:ext cx="425451" cy="733375"/>
    <xdr:pic>
      <xdr:nvPicPr>
        <xdr:cNvPr id="11" name="Picture 10" descr="Image result for jal jeevan mission logo">
          <a:extLst>
            <a:ext uri="{FF2B5EF4-FFF2-40B4-BE49-F238E27FC236}">
              <a16:creationId xmlns:a16="http://schemas.microsoft.com/office/drawing/2014/main" xmlns="" id="{00000000-0008-0000-1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593258" y="16828477"/>
          <a:ext cx="425451" cy="7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12</xdr:col>
      <xdr:colOff>120161</xdr:colOff>
      <xdr:row>148</xdr:row>
      <xdr:rowOff>14655</xdr:rowOff>
    </xdr:from>
    <xdr:ext cx="371475" cy="700770"/>
    <xdr:pic>
      <xdr:nvPicPr>
        <xdr:cNvPr id="12" name="Picture 11" descr="Image result for MEDHAJ LOGO">
          <a:extLst>
            <a:ext uri="{FF2B5EF4-FFF2-40B4-BE49-F238E27FC236}">
              <a16:creationId xmlns:a16="http://schemas.microsoft.com/office/drawing/2014/main" xmlns="" id="{00000000-0008-0000-13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435361" y="16835805"/>
          <a:ext cx="371475" cy="7007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230065</xdr:colOff>
      <xdr:row>148</xdr:row>
      <xdr:rowOff>21981</xdr:rowOff>
    </xdr:from>
    <xdr:ext cx="361950" cy="647700"/>
    <xdr:pic>
      <xdr:nvPicPr>
        <xdr:cNvPr id="13" name="Picture 12">
          <a:extLst>
            <a:ext uri="{FF2B5EF4-FFF2-40B4-BE49-F238E27FC236}">
              <a16:creationId xmlns:a16="http://schemas.microsoft.com/office/drawing/2014/main" xmlns="" id="{00000000-0008-0000-13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154865" y="16843131"/>
          <a:ext cx="36195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54952</xdr:colOff>
      <xdr:row>241</xdr:row>
      <xdr:rowOff>33704</xdr:rowOff>
    </xdr:from>
    <xdr:ext cx="390525" cy="714375"/>
    <xdr:pic>
      <xdr:nvPicPr>
        <xdr:cNvPr id="14" name="Picture 13">
          <a:extLst>
            <a:ext uri="{FF2B5EF4-FFF2-40B4-BE49-F238E27FC236}">
              <a16:creationId xmlns:a16="http://schemas.microsoft.com/office/drawing/2014/main" xmlns="" id="{00000000-0008-0000-13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883752" y="29923154"/>
          <a:ext cx="390525" cy="714375"/>
        </a:xfrm>
        <a:prstGeom prst="rect">
          <a:avLst/>
        </a:prstGeom>
        <a:noFill/>
      </xdr:spPr>
    </xdr:pic>
    <xdr:clientData/>
  </xdr:oneCellAnchor>
  <xdr:oneCellAnchor>
    <xdr:from>
      <xdr:col>14</xdr:col>
      <xdr:colOff>58858</xdr:colOff>
      <xdr:row>241</xdr:row>
      <xdr:rowOff>7327</xdr:rowOff>
    </xdr:from>
    <xdr:ext cx="425451" cy="733375"/>
    <xdr:pic>
      <xdr:nvPicPr>
        <xdr:cNvPr id="15" name="Picture 14" descr="Image result for jal jeevan mission logo">
          <a:extLst>
            <a:ext uri="{FF2B5EF4-FFF2-40B4-BE49-F238E27FC236}">
              <a16:creationId xmlns:a16="http://schemas.microsoft.com/office/drawing/2014/main" xmlns="" id="{00000000-0008-0000-1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593258" y="29896777"/>
          <a:ext cx="425451" cy="7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12</xdr:col>
      <xdr:colOff>120161</xdr:colOff>
      <xdr:row>241</xdr:row>
      <xdr:rowOff>14655</xdr:rowOff>
    </xdr:from>
    <xdr:ext cx="371475" cy="700770"/>
    <xdr:pic>
      <xdr:nvPicPr>
        <xdr:cNvPr id="16" name="Picture 15" descr="Image result for MEDHAJ LOGO">
          <a:extLst>
            <a:ext uri="{FF2B5EF4-FFF2-40B4-BE49-F238E27FC236}">
              <a16:creationId xmlns:a16="http://schemas.microsoft.com/office/drawing/2014/main" xmlns="" id="{00000000-0008-0000-13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435361" y="29904105"/>
          <a:ext cx="371475" cy="7007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230065</xdr:colOff>
      <xdr:row>241</xdr:row>
      <xdr:rowOff>21981</xdr:rowOff>
    </xdr:from>
    <xdr:ext cx="361950" cy="647700"/>
    <xdr:pic>
      <xdr:nvPicPr>
        <xdr:cNvPr id="17" name="Picture 16">
          <a:extLst>
            <a:ext uri="{FF2B5EF4-FFF2-40B4-BE49-F238E27FC236}">
              <a16:creationId xmlns:a16="http://schemas.microsoft.com/office/drawing/2014/main" xmlns="" id="{00000000-0008-0000-13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154865" y="29911431"/>
          <a:ext cx="36195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0</xdr:row>
      <xdr:rowOff>85725</xdr:rowOff>
    </xdr:from>
    <xdr:to>
      <xdr:col>0</xdr:col>
      <xdr:colOff>819150</xdr:colOff>
      <xdr:row>3</xdr:row>
      <xdr:rowOff>161925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3825" y="85725"/>
          <a:ext cx="695325" cy="647700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327025</xdr:colOff>
      <xdr:row>0</xdr:row>
      <xdr:rowOff>19050</xdr:rowOff>
    </xdr:from>
    <xdr:to>
      <xdr:col>11</xdr:col>
      <xdr:colOff>292099</xdr:colOff>
      <xdr:row>3</xdr:row>
      <xdr:rowOff>85725</xdr:rowOff>
    </xdr:to>
    <xdr:pic>
      <xdr:nvPicPr>
        <xdr:cNvPr id="3" name="Picture 2" descr="Image result for jal jeevan mission logo"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737725" y="19050"/>
          <a:ext cx="755015" cy="638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485775</xdr:colOff>
      <xdr:row>0</xdr:row>
      <xdr:rowOff>0</xdr:rowOff>
    </xdr:from>
    <xdr:to>
      <xdr:col>8</xdr:col>
      <xdr:colOff>26130</xdr:colOff>
      <xdr:row>3</xdr:row>
      <xdr:rowOff>166158</xdr:rowOff>
    </xdr:to>
    <xdr:pic>
      <xdr:nvPicPr>
        <xdr:cNvPr id="4" name="Picture 3" descr="Image result for MEDHAJ LOGO"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296025" y="0"/>
          <a:ext cx="902335" cy="737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628650</xdr:colOff>
      <xdr:row>0</xdr:row>
      <xdr:rowOff>19050</xdr:rowOff>
    </xdr:from>
    <xdr:to>
      <xdr:col>9</xdr:col>
      <xdr:colOff>168322</xdr:colOff>
      <xdr:row>3</xdr:row>
      <xdr:rowOff>180975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xmlns="" id="{00000000-0008-0000-02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800975" y="19050"/>
          <a:ext cx="901700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0</xdr:rowOff>
    </xdr:from>
    <xdr:to>
      <xdr:col>0</xdr:col>
      <xdr:colOff>790575</xdr:colOff>
      <xdr:row>3</xdr:row>
      <xdr:rowOff>76200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0" y="0"/>
          <a:ext cx="695325" cy="647700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327025</xdr:colOff>
      <xdr:row>0</xdr:row>
      <xdr:rowOff>19050</xdr:rowOff>
    </xdr:from>
    <xdr:to>
      <xdr:col>11</xdr:col>
      <xdr:colOff>292099</xdr:colOff>
      <xdr:row>3</xdr:row>
      <xdr:rowOff>85725</xdr:rowOff>
    </xdr:to>
    <xdr:pic>
      <xdr:nvPicPr>
        <xdr:cNvPr id="3" name="Picture 2" descr="Image result for jal jeevan mission logo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766300" y="19050"/>
          <a:ext cx="755015" cy="638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485775</xdr:colOff>
      <xdr:row>0</xdr:row>
      <xdr:rowOff>0</xdr:rowOff>
    </xdr:from>
    <xdr:to>
      <xdr:col>8</xdr:col>
      <xdr:colOff>120648</xdr:colOff>
      <xdr:row>3</xdr:row>
      <xdr:rowOff>166158</xdr:rowOff>
    </xdr:to>
    <xdr:pic>
      <xdr:nvPicPr>
        <xdr:cNvPr id="4" name="Picture 3" descr="Image result for MEDHAJ LOGO">
          <a:extLst>
            <a:ext uri="{FF2B5EF4-FFF2-40B4-BE49-F238E27FC236}">
              <a16:creationId xmlns:a16="http://schemas.microsoft.com/office/drawing/2014/main" xmlns="" id="{00000000-0008-0000-03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429375" y="0"/>
          <a:ext cx="901065" cy="737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628650</xdr:colOff>
      <xdr:row>0</xdr:row>
      <xdr:rowOff>19050</xdr:rowOff>
    </xdr:from>
    <xdr:to>
      <xdr:col>9</xdr:col>
      <xdr:colOff>224738</xdr:colOff>
      <xdr:row>3</xdr:row>
      <xdr:rowOff>180975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839075" y="19050"/>
          <a:ext cx="900430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95250</xdr:colOff>
      <xdr:row>0</xdr:row>
      <xdr:rowOff>0</xdr:rowOff>
    </xdr:from>
    <xdr:to>
      <xdr:col>13</xdr:col>
      <xdr:colOff>790575</xdr:colOff>
      <xdr:row>3</xdr:row>
      <xdr:rowOff>76200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xmlns="" id="{00000000-0008-0000-0300-000006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896725" y="0"/>
          <a:ext cx="695325" cy="647700"/>
        </a:xfrm>
        <a:prstGeom prst="rect">
          <a:avLst/>
        </a:prstGeom>
        <a:noFill/>
      </xdr:spPr>
    </xdr:pic>
    <xdr:clientData/>
  </xdr:twoCellAnchor>
  <xdr:twoCellAnchor editAs="oneCell">
    <xdr:from>
      <xdr:col>23</xdr:col>
      <xdr:colOff>327025</xdr:colOff>
      <xdr:row>0</xdr:row>
      <xdr:rowOff>19050</xdr:rowOff>
    </xdr:from>
    <xdr:to>
      <xdr:col>24</xdr:col>
      <xdr:colOff>292099</xdr:colOff>
      <xdr:row>3</xdr:row>
      <xdr:rowOff>85725</xdr:rowOff>
    </xdr:to>
    <xdr:pic>
      <xdr:nvPicPr>
        <xdr:cNvPr id="7" name="Picture 6" descr="Image result for jal jeevan mission logo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0643850" y="19050"/>
          <a:ext cx="783590" cy="638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20</xdr:col>
      <xdr:colOff>485775</xdr:colOff>
      <xdr:row>0</xdr:row>
      <xdr:rowOff>0</xdr:rowOff>
    </xdr:from>
    <xdr:to>
      <xdr:col>21</xdr:col>
      <xdr:colOff>120648</xdr:colOff>
      <xdr:row>3</xdr:row>
      <xdr:rowOff>166158</xdr:rowOff>
    </xdr:to>
    <xdr:pic>
      <xdr:nvPicPr>
        <xdr:cNvPr id="8" name="Picture 7" descr="Image result for MEDHAJ LOGO">
          <a:extLst>
            <a:ext uri="{FF2B5EF4-FFF2-40B4-BE49-F238E27FC236}">
              <a16:creationId xmlns:a16="http://schemas.microsoft.com/office/drawing/2014/main" xmlns="" id="{00000000-0008-0000-03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8345150" y="0"/>
          <a:ext cx="453390" cy="737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628650</xdr:colOff>
      <xdr:row>0</xdr:row>
      <xdr:rowOff>19050</xdr:rowOff>
    </xdr:from>
    <xdr:to>
      <xdr:col>22</xdr:col>
      <xdr:colOff>224738</xdr:colOff>
      <xdr:row>3</xdr:row>
      <xdr:rowOff>180975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xmlns="" id="{00000000-0008-0000-03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307175" y="19050"/>
          <a:ext cx="414655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95250</xdr:colOff>
      <xdr:row>0</xdr:row>
      <xdr:rowOff>0</xdr:rowOff>
    </xdr:from>
    <xdr:to>
      <xdr:col>26</xdr:col>
      <xdr:colOff>790575</xdr:colOff>
      <xdr:row>3</xdr:row>
      <xdr:rowOff>76200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xmlns="" id="{00000000-0008-0000-0300-00000A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2869525" y="0"/>
          <a:ext cx="695325" cy="647700"/>
        </a:xfrm>
        <a:prstGeom prst="rect">
          <a:avLst/>
        </a:prstGeom>
        <a:noFill/>
      </xdr:spPr>
    </xdr:pic>
    <xdr:clientData/>
  </xdr:twoCellAnchor>
  <xdr:twoCellAnchor editAs="oneCell">
    <xdr:from>
      <xdr:col>36</xdr:col>
      <xdr:colOff>327025</xdr:colOff>
      <xdr:row>0</xdr:row>
      <xdr:rowOff>19050</xdr:rowOff>
    </xdr:from>
    <xdr:to>
      <xdr:col>37</xdr:col>
      <xdr:colOff>292099</xdr:colOff>
      <xdr:row>3</xdr:row>
      <xdr:rowOff>85725</xdr:rowOff>
    </xdr:to>
    <xdr:pic>
      <xdr:nvPicPr>
        <xdr:cNvPr id="11" name="Picture 10" descr="Image result for jal jeevan mission logo">
          <a:extLst>
            <a:ext uri="{FF2B5EF4-FFF2-40B4-BE49-F238E27FC236}">
              <a16:creationId xmlns:a16="http://schemas.microsoft.com/office/drawing/2014/main" xmlns="" id="{00000000-0008-0000-03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302325" y="19050"/>
          <a:ext cx="783590" cy="638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33</xdr:col>
      <xdr:colOff>485775</xdr:colOff>
      <xdr:row>0</xdr:row>
      <xdr:rowOff>0</xdr:rowOff>
    </xdr:from>
    <xdr:to>
      <xdr:col>34</xdr:col>
      <xdr:colOff>120648</xdr:colOff>
      <xdr:row>3</xdr:row>
      <xdr:rowOff>166158</xdr:rowOff>
    </xdr:to>
    <xdr:pic>
      <xdr:nvPicPr>
        <xdr:cNvPr id="12" name="Picture 11" descr="Image result for MEDHAJ LOGO">
          <a:extLst>
            <a:ext uri="{FF2B5EF4-FFF2-40B4-BE49-F238E27FC236}">
              <a16:creationId xmlns:a16="http://schemas.microsoft.com/office/drawing/2014/main" xmlns="" id="{00000000-0008-0000-03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8727400" y="0"/>
          <a:ext cx="453390" cy="737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34</xdr:col>
      <xdr:colOff>628650</xdr:colOff>
      <xdr:row>0</xdr:row>
      <xdr:rowOff>19050</xdr:rowOff>
    </xdr:from>
    <xdr:to>
      <xdr:col>34</xdr:col>
      <xdr:colOff>1043888</xdr:colOff>
      <xdr:row>3</xdr:row>
      <xdr:rowOff>180975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xmlns="" id="{00000000-0008-0000-03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9689425" y="19050"/>
          <a:ext cx="414655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39</xdr:col>
      <xdr:colOff>95250</xdr:colOff>
      <xdr:row>0</xdr:row>
      <xdr:rowOff>0</xdr:rowOff>
    </xdr:from>
    <xdr:to>
      <xdr:col>39</xdr:col>
      <xdr:colOff>790575</xdr:colOff>
      <xdr:row>3</xdr:row>
      <xdr:rowOff>76200</xdr:rowOff>
    </xdr:to>
    <xdr:pic>
      <xdr:nvPicPr>
        <xdr:cNvPr id="14" name="Picture 13">
          <a:extLst>
            <a:ext uri="{FF2B5EF4-FFF2-40B4-BE49-F238E27FC236}">
              <a16:creationId xmlns:a16="http://schemas.microsoft.com/office/drawing/2014/main" xmlns="" id="{00000000-0008-0000-0300-00000E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3528000" y="0"/>
          <a:ext cx="695325" cy="647700"/>
        </a:xfrm>
        <a:prstGeom prst="rect">
          <a:avLst/>
        </a:prstGeom>
        <a:noFill/>
      </xdr:spPr>
    </xdr:pic>
    <xdr:clientData/>
  </xdr:twoCellAnchor>
  <xdr:twoCellAnchor editAs="oneCell">
    <xdr:from>
      <xdr:col>49</xdr:col>
      <xdr:colOff>327025</xdr:colOff>
      <xdr:row>0</xdr:row>
      <xdr:rowOff>19050</xdr:rowOff>
    </xdr:from>
    <xdr:to>
      <xdr:col>50</xdr:col>
      <xdr:colOff>292099</xdr:colOff>
      <xdr:row>3</xdr:row>
      <xdr:rowOff>85725</xdr:rowOff>
    </xdr:to>
    <xdr:pic>
      <xdr:nvPicPr>
        <xdr:cNvPr id="15" name="Picture 14" descr="Image result for jal jeevan mission logo">
          <a:extLst>
            <a:ext uri="{FF2B5EF4-FFF2-40B4-BE49-F238E27FC236}">
              <a16:creationId xmlns:a16="http://schemas.microsoft.com/office/drawing/2014/main" xmlns="" id="{00000000-0008-0000-03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1951275" y="19050"/>
          <a:ext cx="783590" cy="638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46</xdr:col>
      <xdr:colOff>485775</xdr:colOff>
      <xdr:row>0</xdr:row>
      <xdr:rowOff>0</xdr:rowOff>
    </xdr:from>
    <xdr:to>
      <xdr:col>47</xdr:col>
      <xdr:colOff>120648</xdr:colOff>
      <xdr:row>3</xdr:row>
      <xdr:rowOff>166158</xdr:rowOff>
    </xdr:to>
    <xdr:pic>
      <xdr:nvPicPr>
        <xdr:cNvPr id="16" name="Picture 15" descr="Image result for MEDHAJ LOGO">
          <a:extLst>
            <a:ext uri="{FF2B5EF4-FFF2-40B4-BE49-F238E27FC236}">
              <a16:creationId xmlns:a16="http://schemas.microsoft.com/office/drawing/2014/main" xmlns="" id="{00000000-0008-0000-03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9652575" y="0"/>
          <a:ext cx="453390" cy="737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47</xdr:col>
      <xdr:colOff>628650</xdr:colOff>
      <xdr:row>0</xdr:row>
      <xdr:rowOff>19050</xdr:rowOff>
    </xdr:from>
    <xdr:to>
      <xdr:col>47</xdr:col>
      <xdr:colOff>815288</xdr:colOff>
      <xdr:row>3</xdr:row>
      <xdr:rowOff>180975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xmlns="" id="{00000000-0008-0000-03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0614600" y="19050"/>
          <a:ext cx="186055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52</xdr:col>
      <xdr:colOff>95250</xdr:colOff>
      <xdr:row>0</xdr:row>
      <xdr:rowOff>0</xdr:rowOff>
    </xdr:from>
    <xdr:to>
      <xdr:col>52</xdr:col>
      <xdr:colOff>790575</xdr:colOff>
      <xdr:row>3</xdr:row>
      <xdr:rowOff>76200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xmlns="" id="{00000000-0008-0000-0300-00001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176950" y="0"/>
          <a:ext cx="695325" cy="647700"/>
        </a:xfrm>
        <a:prstGeom prst="rect">
          <a:avLst/>
        </a:prstGeom>
        <a:noFill/>
      </xdr:spPr>
    </xdr:pic>
    <xdr:clientData/>
  </xdr:twoCellAnchor>
  <xdr:twoCellAnchor editAs="oneCell">
    <xdr:from>
      <xdr:col>62</xdr:col>
      <xdr:colOff>327025</xdr:colOff>
      <xdr:row>0</xdr:row>
      <xdr:rowOff>19050</xdr:rowOff>
    </xdr:from>
    <xdr:to>
      <xdr:col>63</xdr:col>
      <xdr:colOff>292099</xdr:colOff>
      <xdr:row>3</xdr:row>
      <xdr:rowOff>85725</xdr:rowOff>
    </xdr:to>
    <xdr:pic>
      <xdr:nvPicPr>
        <xdr:cNvPr id="19" name="Picture 18" descr="Image result for jal jeevan mission logo">
          <a:extLst>
            <a:ext uri="{FF2B5EF4-FFF2-40B4-BE49-F238E27FC236}">
              <a16:creationId xmlns:a16="http://schemas.microsoft.com/office/drawing/2014/main" xmlns="" id="{00000000-0008-0000-03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2600225" y="19050"/>
          <a:ext cx="783590" cy="638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59</xdr:col>
      <xdr:colOff>485775</xdr:colOff>
      <xdr:row>0</xdr:row>
      <xdr:rowOff>0</xdr:rowOff>
    </xdr:from>
    <xdr:to>
      <xdr:col>60</xdr:col>
      <xdr:colOff>120648</xdr:colOff>
      <xdr:row>3</xdr:row>
      <xdr:rowOff>166158</xdr:rowOff>
    </xdr:to>
    <xdr:pic>
      <xdr:nvPicPr>
        <xdr:cNvPr id="20" name="Picture 19" descr="Image result for MEDHAJ LOGO">
          <a:extLst>
            <a:ext uri="{FF2B5EF4-FFF2-40B4-BE49-F238E27FC236}">
              <a16:creationId xmlns:a16="http://schemas.microsoft.com/office/drawing/2014/main" xmlns="" id="{00000000-0008-0000-03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0301525" y="0"/>
          <a:ext cx="453390" cy="737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60</xdr:col>
      <xdr:colOff>628650</xdr:colOff>
      <xdr:row>0</xdr:row>
      <xdr:rowOff>19050</xdr:rowOff>
    </xdr:from>
    <xdr:to>
      <xdr:col>60</xdr:col>
      <xdr:colOff>815288</xdr:colOff>
      <xdr:row>3</xdr:row>
      <xdr:rowOff>180975</xdr:rowOff>
    </xdr:to>
    <xdr:pic>
      <xdr:nvPicPr>
        <xdr:cNvPr id="21" name="Picture 20">
          <a:extLst>
            <a:ext uri="{FF2B5EF4-FFF2-40B4-BE49-F238E27FC236}">
              <a16:creationId xmlns:a16="http://schemas.microsoft.com/office/drawing/2014/main" xmlns="" id="{00000000-0008-0000-03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1263550" y="19050"/>
          <a:ext cx="186055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0</xdr:row>
      <xdr:rowOff>85725</xdr:rowOff>
    </xdr:from>
    <xdr:to>
      <xdr:col>0</xdr:col>
      <xdr:colOff>819150</xdr:colOff>
      <xdr:row>3</xdr:row>
      <xdr:rowOff>161925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3825" y="85725"/>
          <a:ext cx="695325" cy="647700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327025</xdr:colOff>
      <xdr:row>0</xdr:row>
      <xdr:rowOff>19050</xdr:rowOff>
    </xdr:from>
    <xdr:to>
      <xdr:col>11</xdr:col>
      <xdr:colOff>292099</xdr:colOff>
      <xdr:row>3</xdr:row>
      <xdr:rowOff>85725</xdr:rowOff>
    </xdr:to>
    <xdr:pic>
      <xdr:nvPicPr>
        <xdr:cNvPr id="3" name="Picture 2" descr="Image result for jal jeevan mission logo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356725" y="19050"/>
          <a:ext cx="755015" cy="638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485775</xdr:colOff>
      <xdr:row>0</xdr:row>
      <xdr:rowOff>0</xdr:rowOff>
    </xdr:from>
    <xdr:to>
      <xdr:col>8</xdr:col>
      <xdr:colOff>131293</xdr:colOff>
      <xdr:row>3</xdr:row>
      <xdr:rowOff>166158</xdr:rowOff>
    </xdr:to>
    <xdr:pic>
      <xdr:nvPicPr>
        <xdr:cNvPr id="4" name="Picture 3" descr="Image result for MEDHAJ LOGO">
          <a:extLst>
            <a:ext uri="{FF2B5EF4-FFF2-40B4-BE49-F238E27FC236}">
              <a16:creationId xmlns:a16="http://schemas.microsoft.com/office/drawing/2014/main" xmlns="" id="{00000000-0008-0000-04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296025" y="0"/>
          <a:ext cx="902335" cy="737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628650</xdr:colOff>
      <xdr:row>0</xdr:row>
      <xdr:rowOff>19050</xdr:rowOff>
    </xdr:from>
    <xdr:to>
      <xdr:col>9</xdr:col>
      <xdr:colOff>284690</xdr:colOff>
      <xdr:row>3</xdr:row>
      <xdr:rowOff>180975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xmlns="" id="{00000000-0008-0000-04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696200" y="19050"/>
          <a:ext cx="894080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0</xdr:row>
      <xdr:rowOff>85725</xdr:rowOff>
    </xdr:from>
    <xdr:to>
      <xdr:col>0</xdr:col>
      <xdr:colOff>819150</xdr:colOff>
      <xdr:row>3</xdr:row>
      <xdr:rowOff>161925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5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3825" y="85725"/>
          <a:ext cx="695325" cy="647700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327025</xdr:colOff>
      <xdr:row>0</xdr:row>
      <xdr:rowOff>19050</xdr:rowOff>
    </xdr:from>
    <xdr:to>
      <xdr:col>11</xdr:col>
      <xdr:colOff>292099</xdr:colOff>
      <xdr:row>3</xdr:row>
      <xdr:rowOff>85725</xdr:rowOff>
    </xdr:to>
    <xdr:pic>
      <xdr:nvPicPr>
        <xdr:cNvPr id="3" name="Picture 2" descr="Image result for jal jeevan mission logo">
          <a:extLst>
            <a:ext uri="{FF2B5EF4-FFF2-40B4-BE49-F238E27FC236}">
              <a16:creationId xmlns:a16="http://schemas.microsoft.com/office/drawing/2014/main" xmlns="" id="{00000000-0008-0000-05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0099675" y="19050"/>
          <a:ext cx="755015" cy="638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485775</xdr:colOff>
      <xdr:row>0</xdr:row>
      <xdr:rowOff>0</xdr:rowOff>
    </xdr:from>
    <xdr:to>
      <xdr:col>7</xdr:col>
      <xdr:colOff>1386352</xdr:colOff>
      <xdr:row>3</xdr:row>
      <xdr:rowOff>166158</xdr:rowOff>
    </xdr:to>
    <xdr:pic>
      <xdr:nvPicPr>
        <xdr:cNvPr id="4" name="Picture 3" descr="Image result for MEDHAJ LOGO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410325" y="0"/>
          <a:ext cx="900430" cy="737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628650</xdr:colOff>
      <xdr:row>0</xdr:row>
      <xdr:rowOff>19050</xdr:rowOff>
    </xdr:from>
    <xdr:to>
      <xdr:col>8</xdr:col>
      <xdr:colOff>1528543</xdr:colOff>
      <xdr:row>3</xdr:row>
      <xdr:rowOff>180975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xmlns="" id="{00000000-0008-0000-05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020050" y="19050"/>
          <a:ext cx="899795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13</xdr:col>
      <xdr:colOff>123825</xdr:colOff>
      <xdr:row>0</xdr:row>
      <xdr:rowOff>85725</xdr:rowOff>
    </xdr:from>
    <xdr:ext cx="695325" cy="647700"/>
    <xdr:pic>
      <xdr:nvPicPr>
        <xdr:cNvPr id="6" name="Picture 5">
          <a:extLst>
            <a:ext uri="{FF2B5EF4-FFF2-40B4-BE49-F238E27FC236}">
              <a16:creationId xmlns:a16="http://schemas.microsoft.com/office/drawing/2014/main" xmlns="" id="{00000000-0008-0000-0500-000006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258675" y="85725"/>
          <a:ext cx="695325" cy="647700"/>
        </a:xfrm>
        <a:prstGeom prst="rect">
          <a:avLst/>
        </a:prstGeom>
        <a:noFill/>
      </xdr:spPr>
    </xdr:pic>
    <xdr:clientData/>
  </xdr:oneCellAnchor>
  <xdr:oneCellAnchor>
    <xdr:from>
      <xdr:col>23</xdr:col>
      <xdr:colOff>327025</xdr:colOff>
      <xdr:row>0</xdr:row>
      <xdr:rowOff>19050</xdr:rowOff>
    </xdr:from>
    <xdr:ext cx="751922" cy="638175"/>
    <xdr:pic>
      <xdr:nvPicPr>
        <xdr:cNvPr id="7" name="Picture 6" descr="Image result for jal jeevan mission logo">
          <a:extLst>
            <a:ext uri="{FF2B5EF4-FFF2-40B4-BE49-F238E27FC236}">
              <a16:creationId xmlns:a16="http://schemas.microsoft.com/office/drawing/2014/main" xmlns="" id="{00000000-0008-0000-05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834225" y="19050"/>
          <a:ext cx="751840" cy="638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20</xdr:col>
      <xdr:colOff>485775</xdr:colOff>
      <xdr:row>0</xdr:row>
      <xdr:rowOff>0</xdr:rowOff>
    </xdr:from>
    <xdr:ext cx="900577" cy="737658"/>
    <xdr:pic>
      <xdr:nvPicPr>
        <xdr:cNvPr id="8" name="Picture 7" descr="Image result for MEDHAJ LOGO">
          <a:extLst>
            <a:ext uri="{FF2B5EF4-FFF2-40B4-BE49-F238E27FC236}">
              <a16:creationId xmlns:a16="http://schemas.microsoft.com/office/drawing/2014/main" xmlns="" id="{00000000-0008-0000-05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7535525" y="0"/>
          <a:ext cx="900430" cy="737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21</xdr:col>
      <xdr:colOff>628650</xdr:colOff>
      <xdr:row>0</xdr:row>
      <xdr:rowOff>19050</xdr:rowOff>
    </xdr:from>
    <xdr:ext cx="899893" cy="733425"/>
    <xdr:pic>
      <xdr:nvPicPr>
        <xdr:cNvPr id="9" name="Picture 8">
          <a:extLst>
            <a:ext uri="{FF2B5EF4-FFF2-40B4-BE49-F238E27FC236}">
              <a16:creationId xmlns:a16="http://schemas.microsoft.com/office/drawing/2014/main" xmlns="" id="{00000000-0008-0000-05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8497550" y="19050"/>
          <a:ext cx="899795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123825</xdr:colOff>
      <xdr:row>0</xdr:row>
      <xdr:rowOff>85725</xdr:rowOff>
    </xdr:from>
    <xdr:ext cx="695325" cy="647700"/>
    <xdr:pic>
      <xdr:nvPicPr>
        <xdr:cNvPr id="10" name="Picture 9">
          <a:extLst>
            <a:ext uri="{FF2B5EF4-FFF2-40B4-BE49-F238E27FC236}">
              <a16:creationId xmlns:a16="http://schemas.microsoft.com/office/drawing/2014/main" xmlns="" id="{00000000-0008-0000-0500-00000A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2088475" y="85725"/>
          <a:ext cx="695325" cy="647700"/>
        </a:xfrm>
        <a:prstGeom prst="rect">
          <a:avLst/>
        </a:prstGeom>
        <a:noFill/>
      </xdr:spPr>
    </xdr:pic>
    <xdr:clientData/>
  </xdr:oneCellAnchor>
  <xdr:oneCellAnchor>
    <xdr:from>
      <xdr:col>36</xdr:col>
      <xdr:colOff>327025</xdr:colOff>
      <xdr:row>0</xdr:row>
      <xdr:rowOff>19050</xdr:rowOff>
    </xdr:from>
    <xdr:ext cx="751922" cy="638175"/>
    <xdr:pic>
      <xdr:nvPicPr>
        <xdr:cNvPr id="11" name="Picture 10" descr="Image result for jal jeevan mission logo">
          <a:extLst>
            <a:ext uri="{FF2B5EF4-FFF2-40B4-BE49-F238E27FC236}">
              <a16:creationId xmlns:a16="http://schemas.microsoft.com/office/drawing/2014/main" xmlns="" id="{00000000-0008-0000-05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0216475" y="19050"/>
          <a:ext cx="751840" cy="638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33</xdr:col>
      <xdr:colOff>485775</xdr:colOff>
      <xdr:row>0</xdr:row>
      <xdr:rowOff>0</xdr:rowOff>
    </xdr:from>
    <xdr:ext cx="900577" cy="737658"/>
    <xdr:pic>
      <xdr:nvPicPr>
        <xdr:cNvPr id="12" name="Picture 11" descr="Image result for MEDHAJ LOGO">
          <a:extLst>
            <a:ext uri="{FF2B5EF4-FFF2-40B4-BE49-F238E27FC236}">
              <a16:creationId xmlns:a16="http://schemas.microsoft.com/office/drawing/2014/main" xmlns="" id="{00000000-0008-0000-05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7917775" y="0"/>
          <a:ext cx="900430" cy="737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34</xdr:col>
      <xdr:colOff>628650</xdr:colOff>
      <xdr:row>0</xdr:row>
      <xdr:rowOff>19050</xdr:rowOff>
    </xdr:from>
    <xdr:ext cx="899893" cy="733425"/>
    <xdr:pic>
      <xdr:nvPicPr>
        <xdr:cNvPr id="13" name="Picture 12">
          <a:extLst>
            <a:ext uri="{FF2B5EF4-FFF2-40B4-BE49-F238E27FC236}">
              <a16:creationId xmlns:a16="http://schemas.microsoft.com/office/drawing/2014/main" xmlns="" id="{00000000-0008-0000-05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8879800" y="19050"/>
          <a:ext cx="899795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39</xdr:col>
      <xdr:colOff>123825</xdr:colOff>
      <xdr:row>0</xdr:row>
      <xdr:rowOff>85725</xdr:rowOff>
    </xdr:from>
    <xdr:ext cx="695325" cy="647700"/>
    <xdr:pic>
      <xdr:nvPicPr>
        <xdr:cNvPr id="14" name="Picture 13">
          <a:extLst>
            <a:ext uri="{FF2B5EF4-FFF2-40B4-BE49-F238E27FC236}">
              <a16:creationId xmlns:a16="http://schemas.microsoft.com/office/drawing/2014/main" xmlns="" id="{00000000-0008-0000-0500-00000E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2470725" y="85725"/>
          <a:ext cx="695325" cy="647700"/>
        </a:xfrm>
        <a:prstGeom prst="rect">
          <a:avLst/>
        </a:prstGeom>
        <a:noFill/>
      </xdr:spPr>
    </xdr:pic>
    <xdr:clientData/>
  </xdr:oneCellAnchor>
  <xdr:oneCellAnchor>
    <xdr:from>
      <xdr:col>49</xdr:col>
      <xdr:colOff>327025</xdr:colOff>
      <xdr:row>0</xdr:row>
      <xdr:rowOff>19050</xdr:rowOff>
    </xdr:from>
    <xdr:ext cx="751922" cy="638175"/>
    <xdr:pic>
      <xdr:nvPicPr>
        <xdr:cNvPr id="15" name="Picture 14" descr="Image result for jal jeevan mission logo">
          <a:extLst>
            <a:ext uri="{FF2B5EF4-FFF2-40B4-BE49-F238E27FC236}">
              <a16:creationId xmlns:a16="http://schemas.microsoft.com/office/drawing/2014/main" xmlns="" id="{00000000-0008-0000-05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1046400" y="19050"/>
          <a:ext cx="751840" cy="638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46</xdr:col>
      <xdr:colOff>485775</xdr:colOff>
      <xdr:row>0</xdr:row>
      <xdr:rowOff>0</xdr:rowOff>
    </xdr:from>
    <xdr:ext cx="900577" cy="737658"/>
    <xdr:pic>
      <xdr:nvPicPr>
        <xdr:cNvPr id="16" name="Picture 15" descr="Image result for MEDHAJ LOGO">
          <a:extLst>
            <a:ext uri="{FF2B5EF4-FFF2-40B4-BE49-F238E27FC236}">
              <a16:creationId xmlns:a16="http://schemas.microsoft.com/office/drawing/2014/main" xmlns="" id="{00000000-0008-0000-05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747700" y="0"/>
          <a:ext cx="900430" cy="737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47</xdr:col>
      <xdr:colOff>628650</xdr:colOff>
      <xdr:row>0</xdr:row>
      <xdr:rowOff>19050</xdr:rowOff>
    </xdr:from>
    <xdr:ext cx="899893" cy="733425"/>
    <xdr:pic>
      <xdr:nvPicPr>
        <xdr:cNvPr id="17" name="Picture 16">
          <a:extLst>
            <a:ext uri="{FF2B5EF4-FFF2-40B4-BE49-F238E27FC236}">
              <a16:creationId xmlns:a16="http://schemas.microsoft.com/office/drawing/2014/main" xmlns="" id="{00000000-0008-0000-05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9709725" y="19050"/>
          <a:ext cx="899795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52</xdr:col>
      <xdr:colOff>123825</xdr:colOff>
      <xdr:row>0</xdr:row>
      <xdr:rowOff>85725</xdr:rowOff>
    </xdr:from>
    <xdr:ext cx="695325" cy="647700"/>
    <xdr:pic>
      <xdr:nvPicPr>
        <xdr:cNvPr id="18" name="Picture 17">
          <a:extLst>
            <a:ext uri="{FF2B5EF4-FFF2-40B4-BE49-F238E27FC236}">
              <a16:creationId xmlns:a16="http://schemas.microsoft.com/office/drawing/2014/main" xmlns="" id="{00000000-0008-0000-0500-00001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300650" y="85725"/>
          <a:ext cx="695325" cy="647700"/>
        </a:xfrm>
        <a:prstGeom prst="rect">
          <a:avLst/>
        </a:prstGeom>
        <a:noFill/>
      </xdr:spPr>
    </xdr:pic>
    <xdr:clientData/>
  </xdr:oneCellAnchor>
  <xdr:oneCellAnchor>
    <xdr:from>
      <xdr:col>62</xdr:col>
      <xdr:colOff>327025</xdr:colOff>
      <xdr:row>0</xdr:row>
      <xdr:rowOff>19050</xdr:rowOff>
    </xdr:from>
    <xdr:ext cx="751922" cy="638175"/>
    <xdr:pic>
      <xdr:nvPicPr>
        <xdr:cNvPr id="19" name="Picture 18" descr="Image result for jal jeevan mission logo">
          <a:extLst>
            <a:ext uri="{FF2B5EF4-FFF2-40B4-BE49-F238E27FC236}">
              <a16:creationId xmlns:a16="http://schemas.microsoft.com/office/drawing/2014/main" xmlns="" id="{00000000-0008-0000-05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1771550" y="19050"/>
          <a:ext cx="751840" cy="638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59</xdr:col>
      <xdr:colOff>485775</xdr:colOff>
      <xdr:row>0</xdr:row>
      <xdr:rowOff>0</xdr:rowOff>
    </xdr:from>
    <xdr:ext cx="900577" cy="737658"/>
    <xdr:pic>
      <xdr:nvPicPr>
        <xdr:cNvPr id="20" name="Picture 19" descr="Image result for MEDHAJ LOGO">
          <a:extLst>
            <a:ext uri="{FF2B5EF4-FFF2-40B4-BE49-F238E27FC236}">
              <a16:creationId xmlns:a16="http://schemas.microsoft.com/office/drawing/2014/main" xmlns="" id="{00000000-0008-0000-05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9472850" y="0"/>
          <a:ext cx="900430" cy="737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60</xdr:col>
      <xdr:colOff>628650</xdr:colOff>
      <xdr:row>0</xdr:row>
      <xdr:rowOff>19050</xdr:rowOff>
    </xdr:from>
    <xdr:ext cx="899893" cy="733425"/>
    <xdr:pic>
      <xdr:nvPicPr>
        <xdr:cNvPr id="21" name="Picture 20">
          <a:extLst>
            <a:ext uri="{FF2B5EF4-FFF2-40B4-BE49-F238E27FC236}">
              <a16:creationId xmlns:a16="http://schemas.microsoft.com/office/drawing/2014/main" xmlns="" id="{00000000-0008-0000-05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0434875" y="19050"/>
          <a:ext cx="899795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65</xdr:col>
      <xdr:colOff>123825</xdr:colOff>
      <xdr:row>0</xdr:row>
      <xdr:rowOff>85725</xdr:rowOff>
    </xdr:from>
    <xdr:ext cx="695325" cy="647700"/>
    <xdr:pic>
      <xdr:nvPicPr>
        <xdr:cNvPr id="22" name="Picture 21">
          <a:extLst>
            <a:ext uri="{FF2B5EF4-FFF2-40B4-BE49-F238E27FC236}">
              <a16:creationId xmlns:a16="http://schemas.microsoft.com/office/drawing/2014/main" xmlns="" id="{00000000-0008-0000-0500-000016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4025800" y="85725"/>
          <a:ext cx="695325" cy="647700"/>
        </a:xfrm>
        <a:prstGeom prst="rect">
          <a:avLst/>
        </a:prstGeom>
        <a:noFill/>
      </xdr:spPr>
    </xdr:pic>
    <xdr:clientData/>
  </xdr:oneCellAnchor>
  <xdr:oneCellAnchor>
    <xdr:from>
      <xdr:col>75</xdr:col>
      <xdr:colOff>95112</xdr:colOff>
      <xdr:row>0</xdr:row>
      <xdr:rowOff>68745</xdr:rowOff>
    </xdr:from>
    <xdr:ext cx="751922" cy="638175"/>
    <xdr:pic>
      <xdr:nvPicPr>
        <xdr:cNvPr id="23" name="Picture 22" descr="Image result for jal jeevan mission logo">
          <a:extLst>
            <a:ext uri="{FF2B5EF4-FFF2-40B4-BE49-F238E27FC236}">
              <a16:creationId xmlns:a16="http://schemas.microsoft.com/office/drawing/2014/main" xmlns="" id="{00000000-0008-0000-05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2254765" y="68580"/>
          <a:ext cx="751840" cy="638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73</xdr:col>
      <xdr:colOff>46797</xdr:colOff>
      <xdr:row>0</xdr:row>
      <xdr:rowOff>0</xdr:rowOff>
    </xdr:from>
    <xdr:ext cx="706921" cy="737658"/>
    <xdr:pic>
      <xdr:nvPicPr>
        <xdr:cNvPr id="24" name="Picture 23" descr="Image result for MEDHAJ LOGO">
          <a:extLst>
            <a:ext uri="{FF2B5EF4-FFF2-40B4-BE49-F238E27FC236}">
              <a16:creationId xmlns:a16="http://schemas.microsoft.com/office/drawing/2014/main" xmlns="" id="{00000000-0008-0000-05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0568205" y="0"/>
          <a:ext cx="706755" cy="737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74</xdr:col>
      <xdr:colOff>7454</xdr:colOff>
      <xdr:row>0</xdr:row>
      <xdr:rowOff>19050</xdr:rowOff>
    </xdr:from>
    <xdr:ext cx="779393" cy="733425"/>
    <xdr:pic>
      <xdr:nvPicPr>
        <xdr:cNvPr id="25" name="Picture 24">
          <a:extLst>
            <a:ext uri="{FF2B5EF4-FFF2-40B4-BE49-F238E27FC236}">
              <a16:creationId xmlns:a16="http://schemas.microsoft.com/office/drawing/2014/main" xmlns="" id="{00000000-0008-0000-0500-00001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1347985" y="19050"/>
          <a:ext cx="779780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0</xdr:row>
      <xdr:rowOff>28575</xdr:rowOff>
    </xdr:from>
    <xdr:to>
      <xdr:col>0</xdr:col>
      <xdr:colOff>609600</xdr:colOff>
      <xdr:row>2</xdr:row>
      <xdr:rowOff>85725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6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3825" y="28575"/>
          <a:ext cx="485775" cy="647700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327025</xdr:colOff>
      <xdr:row>0</xdr:row>
      <xdr:rowOff>19050</xdr:rowOff>
    </xdr:from>
    <xdr:to>
      <xdr:col>11</xdr:col>
      <xdr:colOff>292099</xdr:colOff>
      <xdr:row>2</xdr:row>
      <xdr:rowOff>66675</xdr:rowOff>
    </xdr:to>
    <xdr:pic>
      <xdr:nvPicPr>
        <xdr:cNvPr id="3" name="Picture 2" descr="Image result for jal jeevan mission logo">
          <a:extLst>
            <a:ext uri="{FF2B5EF4-FFF2-40B4-BE49-F238E27FC236}">
              <a16:creationId xmlns:a16="http://schemas.microsoft.com/office/drawing/2014/main" xmlns="" id="{00000000-0008-0000-0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471025" y="19050"/>
          <a:ext cx="564515" cy="638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485775</xdr:colOff>
      <xdr:row>0</xdr:row>
      <xdr:rowOff>0</xdr:rowOff>
    </xdr:from>
    <xdr:to>
      <xdr:col>7</xdr:col>
      <xdr:colOff>873123</xdr:colOff>
      <xdr:row>2</xdr:row>
      <xdr:rowOff>147108</xdr:rowOff>
    </xdr:to>
    <xdr:pic>
      <xdr:nvPicPr>
        <xdr:cNvPr id="4" name="Picture 3" descr="Image result for MEDHAJ LOGO">
          <a:extLst>
            <a:ext uri="{FF2B5EF4-FFF2-40B4-BE49-F238E27FC236}">
              <a16:creationId xmlns:a16="http://schemas.microsoft.com/office/drawing/2014/main" xmlns="" id="{00000000-0008-0000-06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276975" y="0"/>
          <a:ext cx="386715" cy="737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628650</xdr:colOff>
      <xdr:row>0</xdr:row>
      <xdr:rowOff>19050</xdr:rowOff>
    </xdr:from>
    <xdr:to>
      <xdr:col>8</xdr:col>
      <xdr:colOff>986738</xdr:colOff>
      <xdr:row>2</xdr:row>
      <xdr:rowOff>161925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xmlns="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772400" y="19050"/>
          <a:ext cx="357505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140390</xdr:colOff>
      <xdr:row>0</xdr:row>
      <xdr:rowOff>69988</xdr:rowOff>
    </xdr:from>
    <xdr:to>
      <xdr:col>0</xdr:col>
      <xdr:colOff>626165</xdr:colOff>
      <xdr:row>1</xdr:row>
      <xdr:rowOff>212863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40335" y="69850"/>
          <a:ext cx="485775" cy="438150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327025</xdr:colOff>
      <xdr:row>0</xdr:row>
      <xdr:rowOff>19050</xdr:rowOff>
    </xdr:from>
    <xdr:to>
      <xdr:col>11</xdr:col>
      <xdr:colOff>292099</xdr:colOff>
      <xdr:row>1</xdr:row>
      <xdr:rowOff>152400</xdr:rowOff>
    </xdr:to>
    <xdr:pic>
      <xdr:nvPicPr>
        <xdr:cNvPr id="3" name="Picture 2" descr="Image result for jal jeevan mission logo">
          <a:extLst>
            <a:ext uri="{FF2B5EF4-FFF2-40B4-BE49-F238E27FC236}">
              <a16:creationId xmlns:a16="http://schemas.microsoft.com/office/drawing/2014/main" xmlns="" id="{00000000-0008-0000-0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766175" y="19050"/>
          <a:ext cx="56451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485775</xdr:colOff>
      <xdr:row>0</xdr:row>
      <xdr:rowOff>0</xdr:rowOff>
    </xdr:from>
    <xdr:to>
      <xdr:col>7</xdr:col>
      <xdr:colOff>606423</xdr:colOff>
      <xdr:row>1</xdr:row>
      <xdr:rowOff>232833</xdr:rowOff>
    </xdr:to>
    <xdr:pic>
      <xdr:nvPicPr>
        <xdr:cNvPr id="4" name="Picture 3" descr="Image result for MEDHAJ LOGO">
          <a:extLst>
            <a:ext uri="{FF2B5EF4-FFF2-40B4-BE49-F238E27FC236}">
              <a16:creationId xmlns:a16="http://schemas.microsoft.com/office/drawing/2014/main" xmlns="" id="{00000000-0008-0000-07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210300" y="0"/>
          <a:ext cx="120015" cy="527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628650</xdr:colOff>
      <xdr:row>0</xdr:row>
      <xdr:rowOff>19050</xdr:rowOff>
    </xdr:from>
    <xdr:to>
      <xdr:col>8</xdr:col>
      <xdr:colOff>632512</xdr:colOff>
      <xdr:row>1</xdr:row>
      <xdr:rowOff>247650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xmlns="" id="{00000000-0008-0000-07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267575" y="19050"/>
          <a:ext cx="3810" cy="523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140390</xdr:colOff>
      <xdr:row>0</xdr:row>
      <xdr:rowOff>69988</xdr:rowOff>
    </xdr:from>
    <xdr:to>
      <xdr:col>13</xdr:col>
      <xdr:colOff>753717</xdr:colOff>
      <xdr:row>3</xdr:row>
      <xdr:rowOff>91108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xmlns="" id="{00000000-0008-0000-0700-000006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0379710" y="69850"/>
          <a:ext cx="612775" cy="906780"/>
        </a:xfrm>
        <a:prstGeom prst="rect">
          <a:avLst/>
        </a:prstGeom>
        <a:noFill/>
      </xdr:spPr>
    </xdr:pic>
    <xdr:clientData/>
  </xdr:twoCellAnchor>
  <xdr:twoCellAnchor editAs="oneCell">
    <xdr:from>
      <xdr:col>23</xdr:col>
      <xdr:colOff>327025</xdr:colOff>
      <xdr:row>0</xdr:row>
      <xdr:rowOff>19050</xdr:rowOff>
    </xdr:from>
    <xdr:to>
      <xdr:col>24</xdr:col>
      <xdr:colOff>292100</xdr:colOff>
      <xdr:row>1</xdr:row>
      <xdr:rowOff>152400</xdr:rowOff>
    </xdr:to>
    <xdr:pic>
      <xdr:nvPicPr>
        <xdr:cNvPr id="7" name="Picture 6" descr="Image result for jal jeevan mission logo">
          <a:extLst>
            <a:ext uri="{FF2B5EF4-FFF2-40B4-BE49-F238E27FC236}">
              <a16:creationId xmlns:a16="http://schemas.microsoft.com/office/drawing/2014/main" xmlns="" id="{00000000-0008-0000-07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8291175" y="19050"/>
          <a:ext cx="56515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20</xdr:col>
      <xdr:colOff>485775</xdr:colOff>
      <xdr:row>0</xdr:row>
      <xdr:rowOff>0</xdr:rowOff>
    </xdr:from>
    <xdr:to>
      <xdr:col>20</xdr:col>
      <xdr:colOff>606423</xdr:colOff>
      <xdr:row>1</xdr:row>
      <xdr:rowOff>232833</xdr:rowOff>
    </xdr:to>
    <xdr:pic>
      <xdr:nvPicPr>
        <xdr:cNvPr id="8" name="Picture 7" descr="Image result for MEDHAJ LOGO">
          <a:extLst>
            <a:ext uri="{FF2B5EF4-FFF2-40B4-BE49-F238E27FC236}">
              <a16:creationId xmlns:a16="http://schemas.microsoft.com/office/drawing/2014/main" xmlns="" id="{00000000-0008-0000-07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6497300" y="0"/>
          <a:ext cx="120015" cy="527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628650</xdr:colOff>
      <xdr:row>0</xdr:row>
      <xdr:rowOff>19050</xdr:rowOff>
    </xdr:from>
    <xdr:to>
      <xdr:col>22</xdr:col>
      <xdr:colOff>10319</xdr:colOff>
      <xdr:row>1</xdr:row>
      <xdr:rowOff>247650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xmlns="" id="{00000000-0008-0000-07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7364075" y="19050"/>
          <a:ext cx="10160" cy="523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27</xdr:col>
      <xdr:colOff>140390</xdr:colOff>
      <xdr:row>0</xdr:row>
      <xdr:rowOff>69988</xdr:rowOff>
    </xdr:from>
    <xdr:to>
      <xdr:col>27</xdr:col>
      <xdr:colOff>610842</xdr:colOff>
      <xdr:row>3</xdr:row>
      <xdr:rowOff>91108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xmlns="" id="{00000000-0008-0000-0700-00000A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0504785" y="69850"/>
          <a:ext cx="469900" cy="906780"/>
        </a:xfrm>
        <a:prstGeom prst="rect">
          <a:avLst/>
        </a:prstGeom>
        <a:noFill/>
      </xdr:spPr>
    </xdr:pic>
    <xdr:clientData/>
  </xdr:twoCellAnchor>
  <xdr:twoCellAnchor editAs="oneCell">
    <xdr:from>
      <xdr:col>37</xdr:col>
      <xdr:colOff>327025</xdr:colOff>
      <xdr:row>0</xdr:row>
      <xdr:rowOff>19050</xdr:rowOff>
    </xdr:from>
    <xdr:to>
      <xdr:col>38</xdr:col>
      <xdr:colOff>292101</xdr:colOff>
      <xdr:row>1</xdr:row>
      <xdr:rowOff>152400</xdr:rowOff>
    </xdr:to>
    <xdr:pic>
      <xdr:nvPicPr>
        <xdr:cNvPr id="11" name="Picture 10" descr="Image result for jal jeevan mission logo">
          <a:extLst>
            <a:ext uri="{FF2B5EF4-FFF2-40B4-BE49-F238E27FC236}">
              <a16:creationId xmlns:a16="http://schemas.microsoft.com/office/drawing/2014/main" xmlns="" id="{00000000-0008-0000-07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7130375" y="19050"/>
          <a:ext cx="56515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34</xdr:col>
      <xdr:colOff>485775</xdr:colOff>
      <xdr:row>0</xdr:row>
      <xdr:rowOff>0</xdr:rowOff>
    </xdr:from>
    <xdr:to>
      <xdr:col>35</xdr:col>
      <xdr:colOff>3173</xdr:colOff>
      <xdr:row>1</xdr:row>
      <xdr:rowOff>232833</xdr:rowOff>
    </xdr:to>
    <xdr:pic>
      <xdr:nvPicPr>
        <xdr:cNvPr id="12" name="Picture 11" descr="Image result for MEDHAJ LOGO">
          <a:extLst>
            <a:ext uri="{FF2B5EF4-FFF2-40B4-BE49-F238E27FC236}">
              <a16:creationId xmlns:a16="http://schemas.microsoft.com/office/drawing/2014/main" xmlns="" id="{00000000-0008-0000-07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5393650" y="0"/>
          <a:ext cx="116840" cy="527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35</xdr:col>
      <xdr:colOff>628650</xdr:colOff>
      <xdr:row>0</xdr:row>
      <xdr:rowOff>19050</xdr:rowOff>
    </xdr:from>
    <xdr:to>
      <xdr:col>35</xdr:col>
      <xdr:colOff>638967</xdr:colOff>
      <xdr:row>1</xdr:row>
      <xdr:rowOff>247650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xmlns="" id="{00000000-0008-0000-07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6136600" y="19050"/>
          <a:ext cx="10160" cy="523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140390</xdr:colOff>
      <xdr:row>0</xdr:row>
      <xdr:rowOff>69988</xdr:rowOff>
    </xdr:from>
    <xdr:to>
      <xdr:col>0</xdr:col>
      <xdr:colOff>626165</xdr:colOff>
      <xdr:row>2</xdr:row>
      <xdr:rowOff>127138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8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40335" y="69850"/>
          <a:ext cx="485775" cy="647700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327025</xdr:colOff>
      <xdr:row>0</xdr:row>
      <xdr:rowOff>19050</xdr:rowOff>
    </xdr:from>
    <xdr:to>
      <xdr:col>11</xdr:col>
      <xdr:colOff>292099</xdr:colOff>
      <xdr:row>2</xdr:row>
      <xdr:rowOff>66675</xdr:rowOff>
    </xdr:to>
    <xdr:pic>
      <xdr:nvPicPr>
        <xdr:cNvPr id="3" name="Picture 2" descr="Image result for jal jeevan mission logo">
          <a:extLst>
            <a:ext uri="{FF2B5EF4-FFF2-40B4-BE49-F238E27FC236}">
              <a16:creationId xmlns:a16="http://schemas.microsoft.com/office/drawing/2014/main" xmlns="" id="{00000000-0008-0000-08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299450" y="19050"/>
          <a:ext cx="564515" cy="638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342901</xdr:colOff>
      <xdr:row>0</xdr:row>
      <xdr:rowOff>0</xdr:rowOff>
    </xdr:from>
    <xdr:to>
      <xdr:col>8</xdr:col>
      <xdr:colOff>47625</xdr:colOff>
      <xdr:row>2</xdr:row>
      <xdr:rowOff>147108</xdr:rowOff>
    </xdr:to>
    <xdr:pic>
      <xdr:nvPicPr>
        <xdr:cNvPr id="4" name="Picture 3" descr="Image result for MEDHAJ LOGO">
          <a:extLst>
            <a:ext uri="{FF2B5EF4-FFF2-40B4-BE49-F238E27FC236}">
              <a16:creationId xmlns:a16="http://schemas.microsoft.com/office/drawing/2014/main" xmlns="" id="{00000000-0008-0000-08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029325" y="0"/>
          <a:ext cx="790575" cy="737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628650</xdr:colOff>
      <xdr:row>0</xdr:row>
      <xdr:rowOff>19050</xdr:rowOff>
    </xdr:from>
    <xdr:to>
      <xdr:col>9</xdr:col>
      <xdr:colOff>3862</xdr:colOff>
      <xdr:row>2</xdr:row>
      <xdr:rowOff>161925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xmlns="" id="{00000000-0008-0000-08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72350" y="19050"/>
          <a:ext cx="3810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14</xdr:col>
      <xdr:colOff>140390</xdr:colOff>
      <xdr:row>0</xdr:row>
      <xdr:rowOff>69988</xdr:rowOff>
    </xdr:from>
    <xdr:ext cx="485775" cy="647700"/>
    <xdr:pic>
      <xdr:nvPicPr>
        <xdr:cNvPr id="6" name="Picture 5">
          <a:extLst>
            <a:ext uri="{FF2B5EF4-FFF2-40B4-BE49-F238E27FC236}">
              <a16:creationId xmlns:a16="http://schemas.microsoft.com/office/drawing/2014/main" xmlns="" id="{00000000-0008-0000-0800-000006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0513060" y="69850"/>
          <a:ext cx="485775" cy="647700"/>
        </a:xfrm>
        <a:prstGeom prst="rect">
          <a:avLst/>
        </a:prstGeom>
        <a:noFill/>
      </xdr:spPr>
    </xdr:pic>
    <xdr:clientData/>
  </xdr:oneCellAnchor>
  <xdr:oneCellAnchor>
    <xdr:from>
      <xdr:col>24</xdr:col>
      <xdr:colOff>327025</xdr:colOff>
      <xdr:row>0</xdr:row>
      <xdr:rowOff>19050</xdr:rowOff>
    </xdr:from>
    <xdr:ext cx="574674" cy="638175"/>
    <xdr:pic>
      <xdr:nvPicPr>
        <xdr:cNvPr id="7" name="Picture 6" descr="Image result for jal jeevan mission logo">
          <a:extLst>
            <a:ext uri="{FF2B5EF4-FFF2-40B4-BE49-F238E27FC236}">
              <a16:creationId xmlns:a16="http://schemas.microsoft.com/office/drawing/2014/main" xmlns="" id="{00000000-0008-0000-08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8805525" y="19050"/>
          <a:ext cx="574040" cy="638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21</xdr:col>
      <xdr:colOff>342901</xdr:colOff>
      <xdr:row>0</xdr:row>
      <xdr:rowOff>0</xdr:rowOff>
    </xdr:from>
    <xdr:ext cx="790574" cy="737658"/>
    <xdr:pic>
      <xdr:nvPicPr>
        <xdr:cNvPr id="8" name="Picture 7" descr="Image result for MEDHAJ LOGO">
          <a:extLst>
            <a:ext uri="{FF2B5EF4-FFF2-40B4-BE49-F238E27FC236}">
              <a16:creationId xmlns:a16="http://schemas.microsoft.com/office/drawing/2014/main" xmlns="" id="{00000000-0008-0000-08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6925925" y="0"/>
          <a:ext cx="790575" cy="737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22</xdr:col>
      <xdr:colOff>628650</xdr:colOff>
      <xdr:row>0</xdr:row>
      <xdr:rowOff>19050</xdr:rowOff>
    </xdr:from>
    <xdr:ext cx="3862" cy="733425"/>
    <xdr:pic>
      <xdr:nvPicPr>
        <xdr:cNvPr id="9" name="Picture 8">
          <a:extLst>
            <a:ext uri="{FF2B5EF4-FFF2-40B4-BE49-F238E27FC236}">
              <a16:creationId xmlns:a16="http://schemas.microsoft.com/office/drawing/2014/main" xmlns="" id="{00000000-0008-0000-08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7878425" y="19050"/>
          <a:ext cx="3810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28</xdr:col>
      <xdr:colOff>140390</xdr:colOff>
      <xdr:row>0</xdr:row>
      <xdr:rowOff>69988</xdr:rowOff>
    </xdr:from>
    <xdr:ext cx="485775" cy="647700"/>
    <xdr:pic>
      <xdr:nvPicPr>
        <xdr:cNvPr id="10" name="Picture 9">
          <a:extLst>
            <a:ext uri="{FF2B5EF4-FFF2-40B4-BE49-F238E27FC236}">
              <a16:creationId xmlns:a16="http://schemas.microsoft.com/office/drawing/2014/main" xmlns="" id="{00000000-0008-0000-0800-00000A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1019135" y="69850"/>
          <a:ext cx="485775" cy="647700"/>
        </a:xfrm>
        <a:prstGeom prst="rect">
          <a:avLst/>
        </a:prstGeom>
        <a:noFill/>
      </xdr:spPr>
    </xdr:pic>
    <xdr:clientData/>
  </xdr:oneCellAnchor>
  <xdr:oneCellAnchor>
    <xdr:from>
      <xdr:col>38</xdr:col>
      <xdr:colOff>327025</xdr:colOff>
      <xdr:row>0</xdr:row>
      <xdr:rowOff>19050</xdr:rowOff>
    </xdr:from>
    <xdr:ext cx="574674" cy="638175"/>
    <xdr:pic>
      <xdr:nvPicPr>
        <xdr:cNvPr id="11" name="Picture 10" descr="Image result for jal jeevan mission logo">
          <a:extLst>
            <a:ext uri="{FF2B5EF4-FFF2-40B4-BE49-F238E27FC236}">
              <a16:creationId xmlns:a16="http://schemas.microsoft.com/office/drawing/2014/main" xmlns="" id="{00000000-0008-0000-08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8673425" y="19050"/>
          <a:ext cx="574040" cy="638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35</xdr:col>
      <xdr:colOff>533401</xdr:colOff>
      <xdr:row>0</xdr:row>
      <xdr:rowOff>38100</xdr:rowOff>
    </xdr:from>
    <xdr:ext cx="790574" cy="737658"/>
    <xdr:pic>
      <xdr:nvPicPr>
        <xdr:cNvPr id="12" name="Picture 11" descr="Image result for MEDHAJ LOGO">
          <a:extLst>
            <a:ext uri="{FF2B5EF4-FFF2-40B4-BE49-F238E27FC236}">
              <a16:creationId xmlns:a16="http://schemas.microsoft.com/office/drawing/2014/main" xmlns="" id="{00000000-0008-0000-08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6336625" y="38100"/>
          <a:ext cx="790575" cy="737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36</xdr:col>
      <xdr:colOff>628650</xdr:colOff>
      <xdr:row>0</xdr:row>
      <xdr:rowOff>19050</xdr:rowOff>
    </xdr:from>
    <xdr:ext cx="3862" cy="733425"/>
    <xdr:pic>
      <xdr:nvPicPr>
        <xdr:cNvPr id="13" name="Picture 12">
          <a:extLst>
            <a:ext uri="{FF2B5EF4-FFF2-40B4-BE49-F238E27FC236}">
              <a16:creationId xmlns:a16="http://schemas.microsoft.com/office/drawing/2014/main" xmlns="" id="{00000000-0008-0000-08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7746325" y="19050"/>
          <a:ext cx="3810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HP\Downloads\MANGRAURA%20(JMR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art1"/>
      <sheetName val="SAKRA"/>
      <sheetName val="HARDOI"/>
      <sheetName val="gehrauli"/>
      <sheetName val="SESHPUR ADHARGANJ"/>
      <sheetName val="ATTARASAND AGS"/>
      <sheetName val="MANGRAURA"/>
      <sheetName val="ATTARASAND PR"/>
      <sheetName val="ATTARASAND KHAYATHI"/>
      <sheetName val="SARAI JAMMUVARI"/>
      <sheetName val="PURBHIKA AND RAIGARH"/>
      <sheetName val="Sheet1"/>
      <sheetName val="Barasarai"/>
      <sheetName val="PADAMPUR"/>
      <sheetName val="malaak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>
        <row r="5">
          <cell r="G5">
            <v>63</v>
          </cell>
          <cell r="H5">
            <v>195.1</v>
          </cell>
        </row>
        <row r="6">
          <cell r="G6">
            <v>63</v>
          </cell>
          <cell r="H6">
            <v>26.6</v>
          </cell>
        </row>
        <row r="7">
          <cell r="G7">
            <v>63</v>
          </cell>
          <cell r="H7">
            <v>83.6</v>
          </cell>
        </row>
        <row r="8">
          <cell r="G8">
            <v>63</v>
          </cell>
          <cell r="H8">
            <v>17.399999999999999</v>
          </cell>
        </row>
        <row r="9">
          <cell r="G9">
            <v>63</v>
          </cell>
          <cell r="H9">
            <v>120.4</v>
          </cell>
        </row>
        <row r="10">
          <cell r="G10">
            <v>63</v>
          </cell>
          <cell r="H10">
            <v>212.2</v>
          </cell>
        </row>
        <row r="11">
          <cell r="G11">
            <v>63</v>
          </cell>
          <cell r="H11">
            <v>94.7</v>
          </cell>
        </row>
        <row r="12">
          <cell r="G12">
            <v>63</v>
          </cell>
          <cell r="H12">
            <v>24.6</v>
          </cell>
        </row>
        <row r="13">
          <cell r="G13">
            <v>63</v>
          </cell>
          <cell r="H13">
            <v>111.3</v>
          </cell>
        </row>
        <row r="14">
          <cell r="G14">
            <v>63</v>
          </cell>
          <cell r="H14">
            <v>170.3</v>
          </cell>
        </row>
        <row r="15">
          <cell r="G15">
            <v>63</v>
          </cell>
          <cell r="H15">
            <v>13.4</v>
          </cell>
        </row>
        <row r="16">
          <cell r="G16">
            <v>63</v>
          </cell>
          <cell r="H16">
            <v>137.30000000000001</v>
          </cell>
        </row>
        <row r="17">
          <cell r="G17">
            <v>63</v>
          </cell>
          <cell r="H17">
            <v>169.4</v>
          </cell>
        </row>
        <row r="18">
          <cell r="G18">
            <v>63</v>
          </cell>
          <cell r="H18">
            <v>103.6</v>
          </cell>
        </row>
        <row r="19">
          <cell r="G19">
            <v>63</v>
          </cell>
          <cell r="H19">
            <v>41.1</v>
          </cell>
        </row>
        <row r="20">
          <cell r="G20">
            <v>63</v>
          </cell>
          <cell r="H20">
            <v>13.9</v>
          </cell>
        </row>
        <row r="21">
          <cell r="G21">
            <v>63</v>
          </cell>
          <cell r="H21">
            <v>142.1</v>
          </cell>
        </row>
        <row r="22">
          <cell r="G22">
            <v>63</v>
          </cell>
          <cell r="H22">
            <v>10.3</v>
          </cell>
        </row>
        <row r="23">
          <cell r="G23">
            <v>63</v>
          </cell>
          <cell r="H23">
            <v>133</v>
          </cell>
        </row>
        <row r="24">
          <cell r="G24">
            <v>63</v>
          </cell>
          <cell r="H24">
            <v>3.5</v>
          </cell>
        </row>
        <row r="25">
          <cell r="G25">
            <v>63</v>
          </cell>
          <cell r="H25">
            <v>229.2</v>
          </cell>
        </row>
        <row r="26">
          <cell r="G26">
            <v>63</v>
          </cell>
          <cell r="H26">
            <v>30.1</v>
          </cell>
        </row>
        <row r="27">
          <cell r="G27">
            <v>63</v>
          </cell>
          <cell r="H27">
            <v>150.19999999999999</v>
          </cell>
        </row>
        <row r="28">
          <cell r="G28">
            <v>63</v>
          </cell>
          <cell r="H28">
            <v>57.4</v>
          </cell>
        </row>
        <row r="29">
          <cell r="G29">
            <v>63</v>
          </cell>
          <cell r="H29">
            <v>75.599999999999994</v>
          </cell>
        </row>
        <row r="30">
          <cell r="G30">
            <v>63</v>
          </cell>
          <cell r="H30">
            <v>70.2</v>
          </cell>
        </row>
        <row r="31">
          <cell r="G31">
            <v>63</v>
          </cell>
          <cell r="H31">
            <v>83.6</v>
          </cell>
        </row>
        <row r="32">
          <cell r="G32">
            <v>63</v>
          </cell>
          <cell r="H32">
            <v>22.3</v>
          </cell>
        </row>
        <row r="33">
          <cell r="G33">
            <v>63</v>
          </cell>
          <cell r="H33">
            <v>21.5</v>
          </cell>
        </row>
        <row r="34">
          <cell r="G34">
            <v>63</v>
          </cell>
          <cell r="H34">
            <v>48.1</v>
          </cell>
        </row>
        <row r="35">
          <cell r="G35">
            <v>63</v>
          </cell>
          <cell r="H35">
            <v>56.3</v>
          </cell>
        </row>
        <row r="36">
          <cell r="G36">
            <v>63</v>
          </cell>
          <cell r="H36">
            <v>35.4</v>
          </cell>
        </row>
        <row r="37">
          <cell r="G37">
            <v>63</v>
          </cell>
          <cell r="H37">
            <v>139.1</v>
          </cell>
        </row>
        <row r="38">
          <cell r="G38">
            <v>63</v>
          </cell>
          <cell r="H38">
            <v>38.200000000000003</v>
          </cell>
        </row>
        <row r="39">
          <cell r="G39">
            <v>63</v>
          </cell>
          <cell r="H39">
            <v>234</v>
          </cell>
        </row>
        <row r="40">
          <cell r="G40">
            <v>75</v>
          </cell>
          <cell r="H40">
            <v>44.5</v>
          </cell>
        </row>
        <row r="41">
          <cell r="G41">
            <v>75</v>
          </cell>
          <cell r="H41">
            <v>54.2</v>
          </cell>
        </row>
        <row r="42">
          <cell r="G42">
            <v>75</v>
          </cell>
          <cell r="H42">
            <v>75.099999999999994</v>
          </cell>
        </row>
        <row r="43">
          <cell r="G43">
            <v>75</v>
          </cell>
          <cell r="H43">
            <v>46.2</v>
          </cell>
        </row>
        <row r="44">
          <cell r="G44">
            <v>75</v>
          </cell>
          <cell r="H44">
            <v>49.7</v>
          </cell>
        </row>
        <row r="45">
          <cell r="G45">
            <v>75</v>
          </cell>
          <cell r="H45">
            <v>14.8</v>
          </cell>
        </row>
        <row r="46">
          <cell r="G46">
            <v>75</v>
          </cell>
          <cell r="H46">
            <v>81.3</v>
          </cell>
        </row>
        <row r="47">
          <cell r="G47">
            <v>75</v>
          </cell>
          <cell r="H47">
            <v>47.5</v>
          </cell>
        </row>
        <row r="48">
          <cell r="G48">
            <v>75</v>
          </cell>
          <cell r="H48">
            <v>108.7</v>
          </cell>
        </row>
        <row r="49">
          <cell r="G49">
            <v>75</v>
          </cell>
          <cell r="H49">
            <v>73.900000000000006</v>
          </cell>
        </row>
        <row r="50">
          <cell r="G50">
            <v>75</v>
          </cell>
          <cell r="H50">
            <v>93.3</v>
          </cell>
        </row>
        <row r="51">
          <cell r="G51">
            <v>75</v>
          </cell>
          <cell r="H51">
            <v>58.2</v>
          </cell>
        </row>
        <row r="52">
          <cell r="G52">
            <v>75</v>
          </cell>
          <cell r="H52">
            <v>43.8</v>
          </cell>
        </row>
        <row r="53">
          <cell r="G53">
            <v>75</v>
          </cell>
          <cell r="H53">
            <v>121.6</v>
          </cell>
        </row>
        <row r="54">
          <cell r="G54">
            <v>75</v>
          </cell>
          <cell r="H54">
            <v>97.9</v>
          </cell>
        </row>
        <row r="55">
          <cell r="G55">
            <v>75</v>
          </cell>
          <cell r="H55">
            <v>53.2</v>
          </cell>
        </row>
        <row r="56">
          <cell r="G56">
            <v>75</v>
          </cell>
          <cell r="H56">
            <v>162.80000000000001</v>
          </cell>
        </row>
        <row r="57">
          <cell r="G57">
            <v>75</v>
          </cell>
          <cell r="H57">
            <v>295.2</v>
          </cell>
        </row>
        <row r="58">
          <cell r="G58">
            <v>75</v>
          </cell>
          <cell r="H58">
            <v>160</v>
          </cell>
        </row>
        <row r="59">
          <cell r="G59">
            <v>75</v>
          </cell>
          <cell r="H59">
            <v>3.5</v>
          </cell>
        </row>
        <row r="60">
          <cell r="G60">
            <v>75</v>
          </cell>
          <cell r="H60">
            <v>129.30000000000001</v>
          </cell>
        </row>
        <row r="61">
          <cell r="G61">
            <v>75</v>
          </cell>
          <cell r="H61">
            <v>87.2</v>
          </cell>
        </row>
        <row r="62">
          <cell r="G62">
            <v>75</v>
          </cell>
          <cell r="H62">
            <v>3.5</v>
          </cell>
        </row>
        <row r="63">
          <cell r="G63">
            <v>75</v>
          </cell>
          <cell r="H63">
            <v>141</v>
          </cell>
        </row>
        <row r="64">
          <cell r="G64">
            <v>75</v>
          </cell>
          <cell r="H64">
            <v>57.1</v>
          </cell>
        </row>
        <row r="65">
          <cell r="G65">
            <v>75</v>
          </cell>
          <cell r="H65">
            <v>78.900000000000006</v>
          </cell>
        </row>
        <row r="66">
          <cell r="G66">
            <v>75</v>
          </cell>
          <cell r="H66">
            <v>39.799999999999997</v>
          </cell>
        </row>
        <row r="67">
          <cell r="G67">
            <v>75</v>
          </cell>
          <cell r="H67">
            <v>34.299999999999997</v>
          </cell>
        </row>
        <row r="68">
          <cell r="G68">
            <v>75</v>
          </cell>
          <cell r="H68">
            <v>32.6</v>
          </cell>
        </row>
        <row r="69">
          <cell r="G69">
            <v>75</v>
          </cell>
          <cell r="H69">
            <v>68.5</v>
          </cell>
        </row>
        <row r="70">
          <cell r="G70">
            <v>75</v>
          </cell>
          <cell r="H70">
            <v>27.8</v>
          </cell>
        </row>
        <row r="71">
          <cell r="G71">
            <v>75</v>
          </cell>
          <cell r="H71">
            <v>51.6</v>
          </cell>
        </row>
        <row r="72">
          <cell r="G72">
            <v>75</v>
          </cell>
          <cell r="H72">
            <v>102.9</v>
          </cell>
        </row>
        <row r="73">
          <cell r="G73">
            <v>75</v>
          </cell>
          <cell r="H73">
            <v>2.1</v>
          </cell>
        </row>
        <row r="74">
          <cell r="G74">
            <v>75</v>
          </cell>
          <cell r="H74">
            <v>44.3</v>
          </cell>
        </row>
        <row r="75">
          <cell r="G75">
            <v>75</v>
          </cell>
          <cell r="H75">
            <v>129.9</v>
          </cell>
        </row>
        <row r="76">
          <cell r="G76">
            <v>75</v>
          </cell>
          <cell r="H76">
            <v>33.9</v>
          </cell>
        </row>
        <row r="77">
          <cell r="G77">
            <v>75</v>
          </cell>
          <cell r="H77">
            <v>18.100000000000001</v>
          </cell>
        </row>
        <row r="78">
          <cell r="G78">
            <v>90</v>
          </cell>
          <cell r="H78">
            <v>36.4</v>
          </cell>
        </row>
        <row r="79">
          <cell r="G79">
            <v>90</v>
          </cell>
          <cell r="H79">
            <v>46.3</v>
          </cell>
        </row>
        <row r="80">
          <cell r="G80">
            <v>90</v>
          </cell>
          <cell r="H80">
            <v>578.20000000000005</v>
          </cell>
        </row>
        <row r="81">
          <cell r="G81">
            <v>90</v>
          </cell>
          <cell r="H81">
            <v>10.1</v>
          </cell>
        </row>
        <row r="82">
          <cell r="G82">
            <v>90</v>
          </cell>
          <cell r="H82">
            <v>182.8</v>
          </cell>
        </row>
        <row r="83">
          <cell r="G83">
            <v>90</v>
          </cell>
          <cell r="H83">
            <v>68.400000000000006</v>
          </cell>
        </row>
        <row r="84">
          <cell r="G84">
            <v>90</v>
          </cell>
          <cell r="H84">
            <v>98.5</v>
          </cell>
        </row>
        <row r="85">
          <cell r="G85">
            <v>90</v>
          </cell>
          <cell r="H85">
            <v>16.3</v>
          </cell>
        </row>
        <row r="86">
          <cell r="G86">
            <v>90</v>
          </cell>
          <cell r="H86">
            <v>38.4</v>
          </cell>
        </row>
        <row r="87">
          <cell r="G87">
            <v>90</v>
          </cell>
          <cell r="H87">
            <v>57.3</v>
          </cell>
        </row>
        <row r="88">
          <cell r="G88">
            <v>90</v>
          </cell>
          <cell r="H88">
            <v>70.099999999999994</v>
          </cell>
        </row>
        <row r="89">
          <cell r="G89">
            <v>90</v>
          </cell>
          <cell r="H89">
            <v>65.400000000000006</v>
          </cell>
        </row>
        <row r="90">
          <cell r="G90">
            <v>90</v>
          </cell>
          <cell r="H90">
            <v>6</v>
          </cell>
        </row>
        <row r="91">
          <cell r="G91">
            <v>90</v>
          </cell>
          <cell r="H91">
            <v>8.3000000000000007</v>
          </cell>
        </row>
        <row r="92">
          <cell r="G92">
            <v>90</v>
          </cell>
          <cell r="H92">
            <v>126.2</v>
          </cell>
        </row>
        <row r="93">
          <cell r="G93">
            <v>90</v>
          </cell>
          <cell r="H93">
            <v>3.5</v>
          </cell>
        </row>
        <row r="94">
          <cell r="G94">
            <v>90</v>
          </cell>
          <cell r="H94">
            <v>74.599999999999994</v>
          </cell>
        </row>
        <row r="95">
          <cell r="G95">
            <v>90</v>
          </cell>
          <cell r="H95">
            <v>22.7</v>
          </cell>
        </row>
        <row r="96">
          <cell r="G96">
            <v>90</v>
          </cell>
          <cell r="H96">
            <v>3.5</v>
          </cell>
        </row>
        <row r="97">
          <cell r="G97">
            <v>90</v>
          </cell>
          <cell r="H97">
            <v>59.1</v>
          </cell>
        </row>
        <row r="98">
          <cell r="G98">
            <v>90</v>
          </cell>
          <cell r="H98">
            <v>29.2</v>
          </cell>
        </row>
        <row r="99">
          <cell r="G99">
            <v>90</v>
          </cell>
          <cell r="H99">
            <v>16.8</v>
          </cell>
        </row>
        <row r="100">
          <cell r="G100">
            <v>90</v>
          </cell>
          <cell r="H100">
            <v>13.6</v>
          </cell>
        </row>
        <row r="101">
          <cell r="G101">
            <v>90</v>
          </cell>
          <cell r="H101">
            <v>72.900000000000006</v>
          </cell>
        </row>
        <row r="102">
          <cell r="G102">
            <v>90</v>
          </cell>
          <cell r="H102">
            <v>89.8</v>
          </cell>
        </row>
        <row r="103">
          <cell r="G103">
            <v>90</v>
          </cell>
          <cell r="H103">
            <v>65.099999999999994</v>
          </cell>
        </row>
        <row r="104">
          <cell r="G104">
            <v>90</v>
          </cell>
          <cell r="H104">
            <v>74.3</v>
          </cell>
        </row>
        <row r="105">
          <cell r="G105">
            <v>90</v>
          </cell>
          <cell r="H105">
            <v>97.5</v>
          </cell>
        </row>
        <row r="106">
          <cell r="G106">
            <v>90</v>
          </cell>
          <cell r="H106">
            <v>69.099999999999994</v>
          </cell>
        </row>
        <row r="107">
          <cell r="G107">
            <v>90</v>
          </cell>
          <cell r="H107">
            <v>46.6</v>
          </cell>
        </row>
        <row r="108">
          <cell r="G108">
            <v>90</v>
          </cell>
          <cell r="H108">
            <v>18.2</v>
          </cell>
        </row>
        <row r="109">
          <cell r="G109">
            <v>90</v>
          </cell>
          <cell r="H109">
            <v>58.1</v>
          </cell>
        </row>
        <row r="110">
          <cell r="G110">
            <v>110</v>
          </cell>
          <cell r="H110">
            <v>1046.0999999999999</v>
          </cell>
        </row>
        <row r="111">
          <cell r="G111">
            <v>110</v>
          </cell>
          <cell r="H111">
            <v>113.5</v>
          </cell>
        </row>
        <row r="112">
          <cell r="G112">
            <v>110</v>
          </cell>
          <cell r="H112">
            <v>43.8</v>
          </cell>
        </row>
        <row r="113">
          <cell r="G113">
            <v>110</v>
          </cell>
          <cell r="H113">
            <v>14.1</v>
          </cell>
        </row>
        <row r="114">
          <cell r="G114">
            <v>110</v>
          </cell>
          <cell r="H114">
            <v>79.2</v>
          </cell>
        </row>
        <row r="115">
          <cell r="G115">
            <v>110</v>
          </cell>
          <cell r="H115">
            <v>50.3</v>
          </cell>
        </row>
        <row r="116">
          <cell r="G116">
            <v>110</v>
          </cell>
          <cell r="H116">
            <v>72.5</v>
          </cell>
        </row>
        <row r="117">
          <cell r="G117">
            <v>110</v>
          </cell>
          <cell r="H117">
            <v>11.1</v>
          </cell>
        </row>
        <row r="118">
          <cell r="G118">
            <v>110</v>
          </cell>
          <cell r="H118">
            <v>272.60000000000002</v>
          </cell>
        </row>
        <row r="119">
          <cell r="G119">
            <v>110</v>
          </cell>
          <cell r="H119">
            <v>98.2</v>
          </cell>
        </row>
        <row r="120">
          <cell r="G120">
            <v>110</v>
          </cell>
          <cell r="H120">
            <v>14.1</v>
          </cell>
        </row>
        <row r="121">
          <cell r="G121">
            <v>110</v>
          </cell>
          <cell r="H121">
            <v>168.1</v>
          </cell>
        </row>
        <row r="122">
          <cell r="G122">
            <v>110</v>
          </cell>
          <cell r="H122">
            <v>38.200000000000003</v>
          </cell>
        </row>
        <row r="123">
          <cell r="G123">
            <v>110</v>
          </cell>
          <cell r="H123">
            <v>26.4</v>
          </cell>
        </row>
        <row r="124">
          <cell r="G124">
            <v>110</v>
          </cell>
          <cell r="H124">
            <v>587.1</v>
          </cell>
        </row>
        <row r="125">
          <cell r="G125">
            <v>110</v>
          </cell>
          <cell r="H125">
            <v>97.3</v>
          </cell>
        </row>
        <row r="126">
          <cell r="G126">
            <v>110</v>
          </cell>
          <cell r="H126">
            <v>20.399999999999999</v>
          </cell>
        </row>
        <row r="127">
          <cell r="G127">
            <v>110</v>
          </cell>
          <cell r="H127">
            <v>89.3</v>
          </cell>
        </row>
        <row r="128">
          <cell r="G128">
            <v>110</v>
          </cell>
          <cell r="H128">
            <v>90.7</v>
          </cell>
        </row>
        <row r="129">
          <cell r="G129">
            <v>110</v>
          </cell>
          <cell r="H129">
            <v>154.1</v>
          </cell>
        </row>
        <row r="130">
          <cell r="G130">
            <v>110</v>
          </cell>
          <cell r="H130">
            <v>32</v>
          </cell>
        </row>
        <row r="131">
          <cell r="G131">
            <v>110</v>
          </cell>
          <cell r="H131">
            <v>72.900000000000006</v>
          </cell>
        </row>
        <row r="132">
          <cell r="G132">
            <v>110</v>
          </cell>
          <cell r="H132">
            <v>62.3</v>
          </cell>
        </row>
        <row r="133">
          <cell r="G133">
            <v>110</v>
          </cell>
          <cell r="H133">
            <v>21.2</v>
          </cell>
        </row>
        <row r="134">
          <cell r="G134">
            <v>250</v>
          </cell>
          <cell r="H134">
            <v>440</v>
          </cell>
        </row>
        <row r="135">
          <cell r="G135">
            <v>250</v>
          </cell>
          <cell r="H135">
            <v>300</v>
          </cell>
        </row>
        <row r="137">
          <cell r="C137">
            <v>63</v>
          </cell>
          <cell r="D137">
            <v>75</v>
          </cell>
          <cell r="E137">
            <v>90</v>
          </cell>
          <cell r="G137">
            <v>250</v>
          </cell>
        </row>
      </sheetData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4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6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7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5"/>
  <sheetViews>
    <sheetView view="pageBreakPreview" topLeftCell="A13" zoomScaleNormal="100" workbookViewId="0">
      <selection activeCell="A11" sqref="A11:D11"/>
    </sheetView>
  </sheetViews>
  <sheetFormatPr defaultColWidth="9" defaultRowHeight="15"/>
  <cols>
    <col min="2" max="2" width="17.7109375" customWidth="1"/>
    <col min="3" max="3" width="11.42578125" customWidth="1"/>
    <col min="4" max="4" width="19.85546875" customWidth="1"/>
    <col min="5" max="5" width="13" customWidth="1"/>
    <col min="6" max="6" width="16.140625" customWidth="1"/>
    <col min="7" max="7" width="30.140625" customWidth="1"/>
  </cols>
  <sheetData>
    <row r="1" spans="1:7">
      <c r="A1" s="187" t="s">
        <v>0</v>
      </c>
      <c r="B1" s="187"/>
      <c r="C1" s="188" t="s">
        <v>1</v>
      </c>
      <c r="D1" s="188"/>
      <c r="E1" s="188"/>
      <c r="F1" s="188"/>
      <c r="G1" s="185"/>
    </row>
    <row r="2" spans="1:7">
      <c r="A2" s="187"/>
      <c r="B2" s="187"/>
      <c r="C2" s="188"/>
      <c r="D2" s="188"/>
      <c r="E2" s="188"/>
      <c r="F2" s="188"/>
      <c r="G2" s="185"/>
    </row>
    <row r="3" spans="1:7" ht="47.25" customHeight="1">
      <c r="A3" s="187"/>
      <c r="B3" s="187"/>
      <c r="C3" s="188"/>
      <c r="D3" s="188"/>
      <c r="E3" s="188"/>
      <c r="F3" s="188"/>
      <c r="G3" s="185"/>
    </row>
    <row r="4" spans="1:7" ht="15" customHeight="1">
      <c r="A4" s="197" t="s">
        <v>2</v>
      </c>
      <c r="B4" s="198"/>
      <c r="C4" s="198"/>
      <c r="D4" s="198"/>
      <c r="E4" s="198"/>
      <c r="F4" s="198"/>
      <c r="G4" s="199"/>
    </row>
    <row r="5" spans="1:7" ht="16.5">
      <c r="A5" s="200" t="s">
        <v>3</v>
      </c>
      <c r="B5" s="201"/>
      <c r="C5" s="201"/>
      <c r="D5" s="201"/>
      <c r="E5" s="201"/>
      <c r="F5" s="201"/>
      <c r="G5" s="202"/>
    </row>
    <row r="6" spans="1:7" ht="21" customHeight="1">
      <c r="A6" s="200" t="s">
        <v>4</v>
      </c>
      <c r="B6" s="201"/>
      <c r="C6" s="201"/>
      <c r="D6" s="201"/>
      <c r="E6" s="201"/>
      <c r="F6" s="201"/>
      <c r="G6" s="202"/>
    </row>
    <row r="7" spans="1:7" ht="16.5">
      <c r="A7" s="203" t="s">
        <v>5</v>
      </c>
      <c r="B7" s="203"/>
      <c r="C7" s="203"/>
      <c r="D7" s="203"/>
      <c r="E7" s="203"/>
      <c r="F7" s="203"/>
      <c r="G7" s="203"/>
    </row>
    <row r="8" spans="1:7">
      <c r="A8" s="204" t="s">
        <v>6</v>
      </c>
      <c r="B8" s="204"/>
      <c r="C8" s="204"/>
      <c r="D8" s="204"/>
      <c r="E8" s="205" t="s">
        <v>7</v>
      </c>
      <c r="F8" s="205"/>
      <c r="G8" s="148" t="s">
        <v>8</v>
      </c>
    </row>
    <row r="9" spans="1:7" ht="21.75" customHeight="1">
      <c r="A9" s="195" t="s">
        <v>9</v>
      </c>
      <c r="B9" s="195"/>
      <c r="C9" s="195"/>
      <c r="D9" s="195"/>
      <c r="E9" s="196"/>
      <c r="F9" s="196"/>
      <c r="G9" s="149"/>
    </row>
    <row r="10" spans="1:7" ht="21.75" customHeight="1">
      <c r="A10" s="195" t="s">
        <v>10</v>
      </c>
      <c r="B10" s="195"/>
      <c r="C10" s="195"/>
      <c r="D10" s="195"/>
      <c r="E10" s="196"/>
      <c r="F10" s="196"/>
      <c r="G10" s="149"/>
    </row>
    <row r="11" spans="1:7" ht="21.75" customHeight="1">
      <c r="A11" s="195" t="s">
        <v>11</v>
      </c>
      <c r="B11" s="195"/>
      <c r="C11" s="195"/>
      <c r="D11" s="195"/>
      <c r="E11" s="196"/>
      <c r="F11" s="196"/>
      <c r="G11" s="149"/>
    </row>
    <row r="12" spans="1:7" ht="21.75" customHeight="1">
      <c r="A12" s="195" t="s">
        <v>12</v>
      </c>
      <c r="B12" s="195"/>
      <c r="C12" s="195"/>
      <c r="D12" s="195"/>
      <c r="E12" s="196"/>
      <c r="F12" s="196"/>
      <c r="G12" s="149"/>
    </row>
    <row r="13" spans="1:7" ht="21.75" customHeight="1">
      <c r="A13" s="195" t="s">
        <v>13</v>
      </c>
      <c r="B13" s="195"/>
      <c r="C13" s="195"/>
      <c r="D13" s="195"/>
      <c r="E13" s="196"/>
      <c r="F13" s="196"/>
      <c r="G13" s="149"/>
    </row>
    <row r="14" spans="1:7" ht="21.75" customHeight="1">
      <c r="A14" s="195" t="s">
        <v>14</v>
      </c>
      <c r="B14" s="195"/>
      <c r="C14" s="195"/>
      <c r="D14" s="195"/>
      <c r="E14" s="196"/>
      <c r="F14" s="196"/>
      <c r="G14" s="149"/>
    </row>
    <row r="15" spans="1:7" ht="21.75" customHeight="1">
      <c r="A15" s="195" t="s">
        <v>15</v>
      </c>
      <c r="B15" s="195"/>
      <c r="C15" s="195"/>
      <c r="D15" s="195"/>
      <c r="E15" s="196"/>
      <c r="F15" s="196"/>
      <c r="G15" s="149"/>
    </row>
    <row r="16" spans="1:7" ht="21.75" customHeight="1">
      <c r="A16" s="195" t="s">
        <v>16</v>
      </c>
      <c r="B16" s="195"/>
      <c r="C16" s="195"/>
      <c r="D16" s="195"/>
      <c r="E16" s="196"/>
      <c r="F16" s="196"/>
      <c r="G16" s="149"/>
    </row>
    <row r="17" spans="1:7" ht="21.75" customHeight="1">
      <c r="A17" s="195" t="s">
        <v>17</v>
      </c>
      <c r="B17" s="195"/>
      <c r="C17" s="195"/>
      <c r="D17" s="195"/>
      <c r="E17" s="196"/>
      <c r="F17" s="196"/>
      <c r="G17" s="149"/>
    </row>
    <row r="18" spans="1:7" ht="23.25" customHeight="1">
      <c r="A18" s="193" t="s">
        <v>18</v>
      </c>
      <c r="B18" s="193"/>
      <c r="C18" s="193"/>
      <c r="D18" s="193"/>
      <c r="E18" s="191"/>
      <c r="F18" s="191"/>
      <c r="G18" s="191"/>
    </row>
    <row r="19" spans="1:7" ht="23.25" customHeight="1">
      <c r="A19" s="193" t="s">
        <v>19</v>
      </c>
      <c r="B19" s="193"/>
      <c r="C19" s="193"/>
      <c r="D19" s="193"/>
      <c r="E19" s="193"/>
      <c r="F19" s="193"/>
      <c r="G19" s="193"/>
    </row>
    <row r="20" spans="1:7" ht="23.25" customHeight="1">
      <c r="A20" s="193" t="s">
        <v>20</v>
      </c>
      <c r="B20" s="193"/>
      <c r="C20" s="193"/>
      <c r="D20" s="193"/>
      <c r="E20" s="193"/>
      <c r="F20" s="193"/>
      <c r="G20" s="193"/>
    </row>
    <row r="21" spans="1:7" ht="28.5" customHeight="1">
      <c r="A21" s="194" t="s">
        <v>21</v>
      </c>
      <c r="B21" s="194"/>
      <c r="C21" s="194"/>
      <c r="D21" s="194"/>
      <c r="E21" s="194"/>
      <c r="F21" s="194"/>
      <c r="G21" s="194"/>
    </row>
    <row r="22" spans="1:7" ht="28.5">
      <c r="A22" s="150" t="s">
        <v>22</v>
      </c>
      <c r="B22" s="191" t="s">
        <v>23</v>
      </c>
      <c r="C22" s="191"/>
      <c r="D22" s="150" t="s">
        <v>24</v>
      </c>
      <c r="E22" s="150" t="s">
        <v>25</v>
      </c>
      <c r="F22" s="150" t="s">
        <v>26</v>
      </c>
      <c r="G22" s="150" t="s">
        <v>27</v>
      </c>
    </row>
    <row r="23" spans="1:7" ht="27" customHeight="1">
      <c r="A23" s="151">
        <v>1</v>
      </c>
      <c r="B23" s="191" t="s">
        <v>28</v>
      </c>
      <c r="C23" s="191"/>
      <c r="D23" s="151"/>
      <c r="E23" s="151"/>
      <c r="F23" s="151"/>
      <c r="G23" s="151"/>
    </row>
    <row r="24" spans="1:7" ht="27" customHeight="1">
      <c r="A24" s="151">
        <v>2</v>
      </c>
      <c r="B24" s="191" t="s">
        <v>29</v>
      </c>
      <c r="C24" s="191"/>
      <c r="D24" s="151"/>
      <c r="E24" s="151"/>
      <c r="F24" s="151"/>
      <c r="G24" s="151"/>
    </row>
    <row r="25" spans="1:7" ht="27" customHeight="1">
      <c r="A25" s="151">
        <v>3</v>
      </c>
      <c r="B25" s="191" t="s">
        <v>30</v>
      </c>
      <c r="C25" s="191"/>
      <c r="D25" s="151"/>
      <c r="E25" s="151"/>
      <c r="F25" s="151"/>
      <c r="G25" s="151"/>
    </row>
    <row r="26" spans="1:7" ht="36.75" customHeight="1">
      <c r="A26" s="151">
        <v>4</v>
      </c>
      <c r="B26" s="191" t="s">
        <v>31</v>
      </c>
      <c r="C26" s="191"/>
      <c r="D26" s="151"/>
      <c r="E26" s="151"/>
      <c r="F26" s="151"/>
      <c r="G26" s="151"/>
    </row>
    <row r="27" spans="1:7" ht="27" customHeight="1">
      <c r="A27" s="151">
        <v>5</v>
      </c>
      <c r="B27" s="191" t="s">
        <v>32</v>
      </c>
      <c r="C27" s="191"/>
      <c r="D27" s="151"/>
      <c r="E27" s="151"/>
      <c r="F27" s="151"/>
      <c r="G27" s="151"/>
    </row>
    <row r="28" spans="1:7">
      <c r="A28" s="192" t="s">
        <v>33</v>
      </c>
      <c r="B28" s="192"/>
      <c r="C28" s="192" t="s">
        <v>34</v>
      </c>
      <c r="D28" s="192"/>
      <c r="E28" s="192"/>
      <c r="F28" s="193" t="s">
        <v>35</v>
      </c>
      <c r="G28" s="193"/>
    </row>
    <row r="29" spans="1:7">
      <c r="A29" s="186" t="s">
        <v>36</v>
      </c>
      <c r="B29" s="186"/>
      <c r="C29" s="186"/>
      <c r="D29" s="186"/>
      <c r="E29" s="186"/>
      <c r="F29" s="186"/>
      <c r="G29" s="186"/>
    </row>
    <row r="30" spans="1:7">
      <c r="A30" s="186"/>
      <c r="B30" s="186"/>
      <c r="C30" s="186"/>
      <c r="D30" s="186"/>
      <c r="E30" s="186"/>
      <c r="F30" s="186"/>
      <c r="G30" s="186"/>
    </row>
    <row r="31" spans="1:7" ht="21.75" customHeight="1">
      <c r="A31" s="189"/>
      <c r="B31" s="189"/>
      <c r="C31" s="189" t="s">
        <v>37</v>
      </c>
      <c r="D31" s="189"/>
      <c r="E31" s="189" t="s">
        <v>38</v>
      </c>
      <c r="F31" s="189"/>
      <c r="G31" s="152" t="s">
        <v>39</v>
      </c>
    </row>
    <row r="32" spans="1:7" ht="21.75" customHeight="1">
      <c r="A32" s="189" t="s">
        <v>40</v>
      </c>
      <c r="B32" s="189"/>
      <c r="C32" s="189"/>
      <c r="D32" s="189"/>
      <c r="E32" s="190"/>
      <c r="F32" s="190"/>
      <c r="G32" s="153"/>
    </row>
    <row r="33" spans="1:7" ht="21.75" customHeight="1">
      <c r="A33" s="189" t="s">
        <v>41</v>
      </c>
      <c r="B33" s="189"/>
      <c r="C33" s="189"/>
      <c r="D33" s="189"/>
      <c r="E33" s="190"/>
      <c r="F33" s="190"/>
      <c r="G33" s="153"/>
    </row>
    <row r="34" spans="1:7" ht="21.75" customHeight="1">
      <c r="A34" s="189" t="s">
        <v>42</v>
      </c>
      <c r="B34" s="189"/>
      <c r="C34" s="189"/>
      <c r="D34" s="189"/>
      <c r="E34" s="190"/>
      <c r="F34" s="190"/>
      <c r="G34" s="153"/>
    </row>
    <row r="35" spans="1:7" ht="21.75" customHeight="1">
      <c r="A35" s="189" t="s">
        <v>43</v>
      </c>
      <c r="B35" s="189"/>
      <c r="C35" s="189"/>
      <c r="D35" s="189"/>
      <c r="E35" s="190"/>
      <c r="F35" s="190"/>
      <c r="G35" s="153"/>
    </row>
  </sheetData>
  <mergeCells count="57">
    <mergeCell ref="A4:G4"/>
    <mergeCell ref="A5:G5"/>
    <mergeCell ref="A6:G6"/>
    <mergeCell ref="A7:G7"/>
    <mergeCell ref="A8:D8"/>
    <mergeCell ref="E8:F8"/>
    <mergeCell ref="A9:D9"/>
    <mergeCell ref="E9:F9"/>
    <mergeCell ref="A10:D10"/>
    <mergeCell ref="E10:F10"/>
    <mergeCell ref="A11:D11"/>
    <mergeCell ref="E11:F11"/>
    <mergeCell ref="A12:D12"/>
    <mergeCell ref="E12:F12"/>
    <mergeCell ref="A13:D13"/>
    <mergeCell ref="E13:F13"/>
    <mergeCell ref="A14:D14"/>
    <mergeCell ref="E14:F14"/>
    <mergeCell ref="A15:D15"/>
    <mergeCell ref="E15:F15"/>
    <mergeCell ref="A16:D16"/>
    <mergeCell ref="E16:F16"/>
    <mergeCell ref="A17:D17"/>
    <mergeCell ref="E17:F17"/>
    <mergeCell ref="B24:C24"/>
    <mergeCell ref="B25:C25"/>
    <mergeCell ref="B26:C26"/>
    <mergeCell ref="A18:D18"/>
    <mergeCell ref="E18:G18"/>
    <mergeCell ref="A19:G19"/>
    <mergeCell ref="A20:G20"/>
    <mergeCell ref="A21:G21"/>
    <mergeCell ref="A35:B35"/>
    <mergeCell ref="C35:D35"/>
    <mergeCell ref="E35:F35"/>
    <mergeCell ref="A32:B32"/>
    <mergeCell ref="C32:D32"/>
    <mergeCell ref="E32:F32"/>
    <mergeCell ref="A33:B33"/>
    <mergeCell ref="C33:D33"/>
    <mergeCell ref="E33:F33"/>
    <mergeCell ref="G1:G3"/>
    <mergeCell ref="A29:G30"/>
    <mergeCell ref="A1:B3"/>
    <mergeCell ref="C1:F3"/>
    <mergeCell ref="A34:B34"/>
    <mergeCell ref="C34:D34"/>
    <mergeCell ref="E34:F34"/>
    <mergeCell ref="B27:C27"/>
    <mergeCell ref="A28:B28"/>
    <mergeCell ref="C28:E28"/>
    <mergeCell ref="F28:G28"/>
    <mergeCell ref="A31:B31"/>
    <mergeCell ref="C31:D31"/>
    <mergeCell ref="E31:F31"/>
    <mergeCell ref="B22:C22"/>
    <mergeCell ref="B23:C23"/>
  </mergeCells>
  <pageMargins left="0.7" right="0.7" top="0.75" bottom="0.75" header="0.3" footer="0.3"/>
  <pageSetup scale="77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M36"/>
  <sheetViews>
    <sheetView topLeftCell="A13" workbookViewId="0">
      <selection activeCell="B32" sqref="B32:M36"/>
    </sheetView>
  </sheetViews>
  <sheetFormatPr defaultColWidth="9" defaultRowHeight="15"/>
  <cols>
    <col min="2" max="2" width="13.42578125" customWidth="1"/>
    <col min="3" max="3" width="11.5703125" customWidth="1"/>
    <col min="8" max="8" width="9.85546875" customWidth="1"/>
    <col min="10" max="10" width="12.5703125" customWidth="1"/>
    <col min="13" max="13" width="14.28515625" customWidth="1"/>
  </cols>
  <sheetData>
    <row r="2" spans="2:13" ht="23.25">
      <c r="B2" s="206"/>
      <c r="C2" s="211" t="s">
        <v>44</v>
      </c>
      <c r="D2" s="212"/>
      <c r="E2" s="212"/>
      <c r="F2" s="212"/>
      <c r="G2" s="212"/>
      <c r="H2" s="212"/>
      <c r="I2" s="213"/>
      <c r="J2" s="2"/>
      <c r="K2" s="20"/>
      <c r="L2" s="20"/>
      <c r="M2" s="21"/>
    </row>
    <row r="3" spans="2:13" ht="23.25">
      <c r="B3" s="207"/>
      <c r="C3" s="214"/>
      <c r="D3" s="215"/>
      <c r="E3" s="215"/>
      <c r="F3" s="215"/>
      <c r="G3" s="215"/>
      <c r="H3" s="215"/>
      <c r="I3" s="216"/>
      <c r="J3" s="4"/>
      <c r="M3" s="22"/>
    </row>
    <row r="4" spans="2:13" ht="23.25">
      <c r="B4" s="207"/>
      <c r="C4" s="214"/>
      <c r="D4" s="215"/>
      <c r="E4" s="215"/>
      <c r="F4" s="215"/>
      <c r="G4" s="215"/>
      <c r="H4" s="215"/>
      <c r="I4" s="216"/>
      <c r="J4" s="4"/>
      <c r="M4" s="22"/>
    </row>
    <row r="5" spans="2:13" ht="23.25">
      <c r="B5" s="207"/>
      <c r="C5" s="214"/>
      <c r="D5" s="215"/>
      <c r="E5" s="215"/>
      <c r="F5" s="215"/>
      <c r="G5" s="215"/>
      <c r="H5" s="215"/>
      <c r="I5" s="216"/>
      <c r="J5" s="4"/>
      <c r="M5" s="22"/>
    </row>
    <row r="6" spans="2:13" ht="16.5">
      <c r="B6" s="223" t="s">
        <v>45</v>
      </c>
      <c r="C6" s="224"/>
      <c r="D6" s="7" t="s">
        <v>46</v>
      </c>
      <c r="E6" s="8"/>
      <c r="F6" s="8"/>
      <c r="G6" s="8"/>
      <c r="H6" s="8"/>
      <c r="I6" s="8"/>
      <c r="J6" s="8"/>
      <c r="K6" s="8"/>
      <c r="L6" s="8"/>
      <c r="M6" s="23"/>
    </row>
    <row r="7" spans="2:13" ht="16.5">
      <c r="B7" s="223" t="s">
        <v>48</v>
      </c>
      <c r="C7" s="224"/>
      <c r="D7" s="7" t="s">
        <v>49</v>
      </c>
      <c r="E7" s="8"/>
      <c r="F7" s="8"/>
      <c r="G7" s="8"/>
      <c r="H7" s="8"/>
      <c r="I7" s="8"/>
      <c r="J7" s="8"/>
      <c r="K7" s="8"/>
      <c r="L7" s="8"/>
      <c r="M7" s="23"/>
    </row>
    <row r="8" spans="2:13" ht="16.5">
      <c r="B8" s="225" t="s">
        <v>50</v>
      </c>
      <c r="C8" s="226"/>
      <c r="D8" s="7" t="s">
        <v>51</v>
      </c>
      <c r="E8" s="8"/>
      <c r="F8" s="8"/>
      <c r="G8" s="8"/>
      <c r="H8" s="8"/>
      <c r="I8" s="8"/>
      <c r="J8" s="8"/>
      <c r="K8" s="8"/>
      <c r="L8" s="8"/>
      <c r="M8" s="23"/>
    </row>
    <row r="9" spans="2:13" ht="16.5">
      <c r="B9" s="223" t="s">
        <v>52</v>
      </c>
      <c r="C9" s="224"/>
      <c r="D9" s="7" t="s">
        <v>53</v>
      </c>
      <c r="E9" s="8"/>
      <c r="F9" s="8"/>
      <c r="G9" s="8"/>
      <c r="H9" s="8"/>
      <c r="I9" s="8"/>
      <c r="J9" s="8"/>
      <c r="K9" s="8"/>
      <c r="L9" s="8"/>
      <c r="M9" s="23"/>
    </row>
    <row r="10" spans="2:13" ht="15.75">
      <c r="B10" s="227" t="s">
        <v>535</v>
      </c>
      <c r="C10" s="228"/>
      <c r="D10" s="228"/>
      <c r="E10" s="228"/>
      <c r="F10" s="228"/>
      <c r="G10" s="228"/>
      <c r="H10" s="228"/>
      <c r="I10" s="228"/>
      <c r="J10" s="228"/>
      <c r="K10" s="228"/>
      <c r="L10" s="228"/>
      <c r="M10" s="229"/>
    </row>
    <row r="11" spans="2:13" ht="15.75">
      <c r="B11" s="11" t="s">
        <v>55</v>
      </c>
      <c r="C11" s="71"/>
      <c r="D11" s="12"/>
      <c r="E11" s="12"/>
      <c r="F11" s="12"/>
      <c r="G11" s="12"/>
      <c r="H11" s="24" t="s">
        <v>56</v>
      </c>
      <c r="I11" s="113"/>
      <c r="J11" s="71"/>
      <c r="K11" s="12"/>
      <c r="L11" s="12"/>
      <c r="M11" s="26"/>
    </row>
    <row r="12" spans="2:13">
      <c r="B12" s="217"/>
      <c r="C12" s="218"/>
      <c r="D12" s="218"/>
      <c r="E12" s="218"/>
      <c r="F12" s="218"/>
      <c r="G12" s="218"/>
      <c r="H12" s="218"/>
      <c r="I12" s="218"/>
      <c r="J12" s="218"/>
      <c r="K12" s="218"/>
      <c r="L12" s="218"/>
      <c r="M12" s="219"/>
    </row>
    <row r="13" spans="2:13" ht="15.75">
      <c r="B13" s="11" t="s">
        <v>103</v>
      </c>
      <c r="C13" s="71">
        <v>45064</v>
      </c>
      <c r="D13" s="73"/>
      <c r="E13" s="24"/>
      <c r="F13" s="74"/>
      <c r="G13" s="25"/>
      <c r="H13" s="24" t="s">
        <v>406</v>
      </c>
      <c r="I13" s="114"/>
      <c r="J13" s="71">
        <v>45064</v>
      </c>
      <c r="K13" s="74"/>
      <c r="L13" s="74"/>
      <c r="M13" s="80"/>
    </row>
    <row r="14" spans="2:13">
      <c r="B14" s="208" t="s">
        <v>59</v>
      </c>
      <c r="C14" s="209" t="s">
        <v>60</v>
      </c>
      <c r="D14" s="210" t="s">
        <v>61</v>
      </c>
      <c r="E14" s="210" t="s">
        <v>62</v>
      </c>
      <c r="F14" s="210" t="s">
        <v>63</v>
      </c>
      <c r="G14" s="210" t="s">
        <v>64</v>
      </c>
      <c r="H14" s="292" t="s">
        <v>65</v>
      </c>
      <c r="I14" s="220" t="s">
        <v>66</v>
      </c>
      <c r="J14" s="221"/>
      <c r="K14" s="222"/>
      <c r="L14" s="209" t="s">
        <v>30</v>
      </c>
      <c r="M14" s="244" t="s">
        <v>67</v>
      </c>
    </row>
    <row r="15" spans="2:13" ht="60">
      <c r="B15" s="208"/>
      <c r="C15" s="209"/>
      <c r="D15" s="210"/>
      <c r="E15" s="210"/>
      <c r="F15" s="210"/>
      <c r="G15" s="210"/>
      <c r="H15" s="293"/>
      <c r="I15" s="16" t="s">
        <v>68</v>
      </c>
      <c r="J15" s="62" t="s">
        <v>69</v>
      </c>
      <c r="K15" s="16" t="s">
        <v>70</v>
      </c>
      <c r="L15" s="209"/>
      <c r="M15" s="244"/>
    </row>
    <row r="16" spans="2:13">
      <c r="B16" s="33">
        <v>1</v>
      </c>
      <c r="C16" s="33" t="s">
        <v>71</v>
      </c>
      <c r="D16" s="33">
        <v>56.7</v>
      </c>
      <c r="E16" s="33" t="s">
        <v>536</v>
      </c>
      <c r="F16" s="33" t="s">
        <v>220</v>
      </c>
      <c r="G16" s="33">
        <v>60</v>
      </c>
      <c r="H16" s="33" t="s">
        <v>285</v>
      </c>
      <c r="I16" s="29">
        <v>3.3</v>
      </c>
      <c r="J16" s="29">
        <v>1</v>
      </c>
      <c r="K16" s="33">
        <v>4.3</v>
      </c>
      <c r="L16" s="29" t="s">
        <v>114</v>
      </c>
      <c r="M16" s="29"/>
    </row>
    <row r="17" spans="2:13">
      <c r="B17" s="33">
        <f>1+B16</f>
        <v>2</v>
      </c>
      <c r="C17" s="33" t="s">
        <v>71</v>
      </c>
      <c r="D17" s="33">
        <v>56.7</v>
      </c>
      <c r="E17" s="33" t="s">
        <v>536</v>
      </c>
      <c r="F17" s="33" t="s">
        <v>537</v>
      </c>
      <c r="G17" s="33">
        <v>30</v>
      </c>
      <c r="H17" s="33" t="s">
        <v>285</v>
      </c>
      <c r="I17" s="29">
        <v>3.3</v>
      </c>
      <c r="J17" s="29">
        <v>1</v>
      </c>
      <c r="K17" s="33">
        <v>4.3</v>
      </c>
      <c r="L17" s="29" t="s">
        <v>114</v>
      </c>
      <c r="M17" s="29"/>
    </row>
    <row r="18" spans="2:13">
      <c r="B18" s="33">
        <f t="shared" ref="B18:B31" si="0">1+B17</f>
        <v>3</v>
      </c>
      <c r="C18" s="33" t="s">
        <v>71</v>
      </c>
      <c r="D18" s="33">
        <v>56.7</v>
      </c>
      <c r="E18" s="33" t="s">
        <v>217</v>
      </c>
      <c r="F18" s="33" t="s">
        <v>247</v>
      </c>
      <c r="G18" s="33">
        <v>40</v>
      </c>
      <c r="H18" s="33" t="s">
        <v>285</v>
      </c>
      <c r="I18" s="29">
        <v>3.3</v>
      </c>
      <c r="J18" s="29">
        <v>1</v>
      </c>
      <c r="K18" s="33">
        <v>4.3</v>
      </c>
      <c r="L18" s="29" t="s">
        <v>114</v>
      </c>
      <c r="M18" s="29"/>
    </row>
    <row r="19" spans="2:13">
      <c r="B19" s="33">
        <f t="shared" si="0"/>
        <v>4</v>
      </c>
      <c r="C19" s="33" t="s">
        <v>71</v>
      </c>
      <c r="D19" s="33">
        <v>56.7</v>
      </c>
      <c r="E19" s="33" t="s">
        <v>217</v>
      </c>
      <c r="F19" s="33" t="s">
        <v>215</v>
      </c>
      <c r="G19" s="33">
        <v>140</v>
      </c>
      <c r="H19" s="33" t="s">
        <v>285</v>
      </c>
      <c r="I19" s="29">
        <v>3.3</v>
      </c>
      <c r="J19" s="29">
        <v>1</v>
      </c>
      <c r="K19" s="33">
        <v>4.3</v>
      </c>
      <c r="L19" s="29" t="s">
        <v>114</v>
      </c>
      <c r="M19" s="29"/>
    </row>
    <row r="20" spans="2:13">
      <c r="B20" s="33">
        <f t="shared" si="0"/>
        <v>5</v>
      </c>
      <c r="C20" s="33" t="s">
        <v>71</v>
      </c>
      <c r="D20" s="33">
        <v>56.7</v>
      </c>
      <c r="E20" s="33" t="s">
        <v>215</v>
      </c>
      <c r="F20" s="33" t="s">
        <v>425</v>
      </c>
      <c r="G20" s="33">
        <v>200</v>
      </c>
      <c r="H20" s="33" t="s">
        <v>285</v>
      </c>
      <c r="I20" s="29">
        <v>3.3</v>
      </c>
      <c r="J20" s="29">
        <v>1</v>
      </c>
      <c r="K20" s="33">
        <v>4.3</v>
      </c>
      <c r="L20" s="29" t="s">
        <v>114</v>
      </c>
      <c r="M20" s="29"/>
    </row>
    <row r="21" spans="2:13">
      <c r="B21" s="33">
        <f t="shared" si="0"/>
        <v>6</v>
      </c>
      <c r="C21" s="33" t="s">
        <v>71</v>
      </c>
      <c r="D21" s="33">
        <v>56.7</v>
      </c>
      <c r="E21" s="33" t="s">
        <v>215</v>
      </c>
      <c r="F21" s="33" t="s">
        <v>145</v>
      </c>
      <c r="G21" s="33">
        <v>130</v>
      </c>
      <c r="H21" s="33" t="s">
        <v>285</v>
      </c>
      <c r="I21" s="29">
        <v>3.3</v>
      </c>
      <c r="J21" s="29">
        <v>1</v>
      </c>
      <c r="K21" s="33">
        <v>4.3</v>
      </c>
      <c r="L21" s="29" t="s">
        <v>114</v>
      </c>
      <c r="M21" s="29"/>
    </row>
    <row r="22" spans="2:13">
      <c r="B22" s="33">
        <f t="shared" si="0"/>
        <v>7</v>
      </c>
      <c r="C22" s="33" t="s">
        <v>71</v>
      </c>
      <c r="D22" s="33">
        <v>56.7</v>
      </c>
      <c r="E22" s="33" t="s">
        <v>215</v>
      </c>
      <c r="F22" s="33" t="s">
        <v>145</v>
      </c>
      <c r="G22" s="33">
        <v>155</v>
      </c>
      <c r="H22" s="33" t="s">
        <v>285</v>
      </c>
      <c r="I22" s="29">
        <v>3.3</v>
      </c>
      <c r="J22" s="29">
        <v>1</v>
      </c>
      <c r="K22" s="33">
        <v>4.3</v>
      </c>
      <c r="L22" s="29" t="s">
        <v>114</v>
      </c>
      <c r="M22" s="29"/>
    </row>
    <row r="23" spans="2:13">
      <c r="B23" s="33">
        <f t="shared" si="0"/>
        <v>8</v>
      </c>
      <c r="C23" s="33" t="s">
        <v>71</v>
      </c>
      <c r="D23" s="33">
        <v>56.7</v>
      </c>
      <c r="E23" s="33" t="s">
        <v>145</v>
      </c>
      <c r="F23" s="33" t="s">
        <v>213</v>
      </c>
      <c r="G23" s="33">
        <v>45</v>
      </c>
      <c r="H23" s="33" t="s">
        <v>285</v>
      </c>
      <c r="I23" s="29">
        <v>3.3</v>
      </c>
      <c r="J23" s="29">
        <v>1</v>
      </c>
      <c r="K23" s="33">
        <v>4.3</v>
      </c>
      <c r="L23" s="29" t="s">
        <v>114</v>
      </c>
      <c r="M23" s="29"/>
    </row>
    <row r="24" spans="2:13">
      <c r="B24" s="33">
        <f t="shared" si="0"/>
        <v>9</v>
      </c>
      <c r="C24" s="33" t="s">
        <v>71</v>
      </c>
      <c r="D24" s="33">
        <v>56.7</v>
      </c>
      <c r="E24" s="33" t="s">
        <v>538</v>
      </c>
      <c r="F24" s="33" t="s">
        <v>296</v>
      </c>
      <c r="G24" s="33">
        <v>134</v>
      </c>
      <c r="H24" s="33" t="s">
        <v>285</v>
      </c>
      <c r="I24" s="29">
        <v>3.3</v>
      </c>
      <c r="J24" s="29">
        <v>1</v>
      </c>
      <c r="K24" s="33">
        <v>4.3</v>
      </c>
      <c r="L24" s="29" t="s">
        <v>114</v>
      </c>
      <c r="M24" s="29"/>
    </row>
    <row r="25" spans="2:13">
      <c r="B25" s="33">
        <f t="shared" si="0"/>
        <v>10</v>
      </c>
      <c r="C25" s="33" t="s">
        <v>71</v>
      </c>
      <c r="D25" s="33">
        <v>56.7</v>
      </c>
      <c r="E25" s="33" t="s">
        <v>441</v>
      </c>
      <c r="F25" s="33" t="s">
        <v>538</v>
      </c>
      <c r="G25" s="33">
        <v>21</v>
      </c>
      <c r="H25" s="33" t="s">
        <v>285</v>
      </c>
      <c r="I25" s="29">
        <v>3.3</v>
      </c>
      <c r="J25" s="29">
        <v>1</v>
      </c>
      <c r="K25" s="33">
        <v>4.3</v>
      </c>
      <c r="L25" s="29" t="s">
        <v>114</v>
      </c>
      <c r="M25" s="29"/>
    </row>
    <row r="26" spans="2:13">
      <c r="B26" s="33">
        <f t="shared" si="0"/>
        <v>11</v>
      </c>
      <c r="C26" s="33" t="s">
        <v>71</v>
      </c>
      <c r="D26" s="33">
        <v>56.7</v>
      </c>
      <c r="E26" s="33" t="s">
        <v>296</v>
      </c>
      <c r="F26" s="33" t="s">
        <v>539</v>
      </c>
      <c r="G26" s="33">
        <v>150</v>
      </c>
      <c r="H26" s="33" t="s">
        <v>285</v>
      </c>
      <c r="I26" s="29">
        <v>3.3</v>
      </c>
      <c r="J26" s="29">
        <v>1</v>
      </c>
      <c r="K26" s="33">
        <v>4.3</v>
      </c>
      <c r="L26" s="29" t="s">
        <v>114</v>
      </c>
      <c r="M26" s="29"/>
    </row>
    <row r="27" spans="2:13">
      <c r="B27" s="33">
        <f t="shared" si="0"/>
        <v>12</v>
      </c>
      <c r="C27" s="33" t="s">
        <v>71</v>
      </c>
      <c r="D27" s="33">
        <v>56.7</v>
      </c>
      <c r="E27" s="33" t="s">
        <v>296</v>
      </c>
      <c r="F27" s="33" t="s">
        <v>422</v>
      </c>
      <c r="G27" s="33">
        <v>145</v>
      </c>
      <c r="H27" s="33" t="s">
        <v>285</v>
      </c>
      <c r="I27" s="29">
        <v>3.3</v>
      </c>
      <c r="J27" s="29">
        <v>1</v>
      </c>
      <c r="K27" s="33">
        <v>4.3</v>
      </c>
      <c r="L27" s="29" t="s">
        <v>114</v>
      </c>
      <c r="M27" s="29"/>
    </row>
    <row r="28" spans="2:13">
      <c r="B28" s="33">
        <f t="shared" si="0"/>
        <v>13</v>
      </c>
      <c r="C28" s="33" t="s">
        <v>71</v>
      </c>
      <c r="D28" s="33">
        <v>56.7</v>
      </c>
      <c r="E28" s="33" t="s">
        <v>296</v>
      </c>
      <c r="F28" s="33" t="s">
        <v>422</v>
      </c>
      <c r="G28" s="33">
        <v>246</v>
      </c>
      <c r="H28" s="33" t="s">
        <v>285</v>
      </c>
      <c r="I28" s="29">
        <v>3.3</v>
      </c>
      <c r="J28" s="29">
        <v>1</v>
      </c>
      <c r="K28" s="33">
        <v>4.3</v>
      </c>
      <c r="L28" s="29" t="s">
        <v>114</v>
      </c>
      <c r="M28" s="29"/>
    </row>
    <row r="29" spans="2:13">
      <c r="B29" s="33">
        <f t="shared" si="0"/>
        <v>14</v>
      </c>
      <c r="C29" s="33" t="s">
        <v>71</v>
      </c>
      <c r="D29" s="33">
        <v>56.7</v>
      </c>
      <c r="E29" s="33" t="s">
        <v>422</v>
      </c>
      <c r="F29" s="33" t="s">
        <v>299</v>
      </c>
      <c r="G29" s="33">
        <v>49</v>
      </c>
      <c r="H29" s="33" t="s">
        <v>285</v>
      </c>
      <c r="I29" s="29">
        <v>3.3</v>
      </c>
      <c r="J29" s="29">
        <v>1</v>
      </c>
      <c r="K29" s="33">
        <v>4.3</v>
      </c>
      <c r="L29" s="29" t="s">
        <v>114</v>
      </c>
      <c r="M29" s="29"/>
    </row>
    <row r="30" spans="2:13">
      <c r="B30" s="33">
        <f t="shared" si="0"/>
        <v>15</v>
      </c>
      <c r="C30" s="33" t="s">
        <v>71</v>
      </c>
      <c r="D30" s="33">
        <v>56.7</v>
      </c>
      <c r="E30" s="33" t="s">
        <v>299</v>
      </c>
      <c r="F30" s="33" t="s">
        <v>284</v>
      </c>
      <c r="G30" s="33">
        <v>369</v>
      </c>
      <c r="H30" s="33" t="s">
        <v>285</v>
      </c>
      <c r="I30" s="29">
        <v>3.3</v>
      </c>
      <c r="J30" s="29">
        <v>1</v>
      </c>
      <c r="K30" s="33">
        <v>4.3</v>
      </c>
      <c r="L30" s="29" t="s">
        <v>114</v>
      </c>
      <c r="M30" s="29"/>
    </row>
    <row r="31" spans="2:13">
      <c r="B31" s="33">
        <f t="shared" si="0"/>
        <v>16</v>
      </c>
      <c r="C31" s="33" t="s">
        <v>71</v>
      </c>
      <c r="D31" s="33">
        <v>56.7</v>
      </c>
      <c r="E31" s="33" t="s">
        <v>284</v>
      </c>
      <c r="F31" s="33" t="s">
        <v>336</v>
      </c>
      <c r="G31" s="33">
        <v>350</v>
      </c>
      <c r="H31" s="33" t="s">
        <v>285</v>
      </c>
      <c r="I31" s="29">
        <v>3.3</v>
      </c>
      <c r="J31" s="29">
        <v>1</v>
      </c>
      <c r="K31" s="33">
        <v>4.3</v>
      </c>
      <c r="L31" s="29" t="s">
        <v>114</v>
      </c>
      <c r="M31" s="29"/>
    </row>
    <row r="32" spans="2:13">
      <c r="B32" s="324"/>
      <c r="C32" s="324"/>
      <c r="D32" s="325" t="s">
        <v>86</v>
      </c>
      <c r="E32" s="325"/>
      <c r="F32" s="325"/>
      <c r="G32" s="325"/>
      <c r="H32" s="325" t="s">
        <v>87</v>
      </c>
      <c r="I32" s="325"/>
      <c r="J32" s="325"/>
      <c r="K32" s="325" t="s">
        <v>39</v>
      </c>
      <c r="L32" s="325"/>
      <c r="M32" s="325"/>
    </row>
    <row r="33" spans="2:13">
      <c r="B33" s="295" t="s">
        <v>40</v>
      </c>
      <c r="C33" s="295"/>
      <c r="D33" s="317" t="s">
        <v>540</v>
      </c>
      <c r="E33" s="317"/>
      <c r="F33" s="317"/>
      <c r="G33" s="317"/>
      <c r="H33" s="317"/>
      <c r="I33" s="317"/>
      <c r="J33" s="317"/>
      <c r="K33" s="317"/>
      <c r="L33" s="317"/>
      <c r="M33" s="317"/>
    </row>
    <row r="34" spans="2:13">
      <c r="B34" s="295" t="s">
        <v>41</v>
      </c>
      <c r="C34" s="295"/>
      <c r="D34" s="317" t="s">
        <v>541</v>
      </c>
      <c r="E34" s="317"/>
      <c r="F34" s="317"/>
      <c r="G34" s="317"/>
      <c r="H34" s="317"/>
      <c r="I34" s="317"/>
      <c r="J34" s="317"/>
      <c r="K34" s="317"/>
      <c r="L34" s="317"/>
      <c r="M34" s="317"/>
    </row>
    <row r="35" spans="2:13">
      <c r="B35" s="295" t="s">
        <v>42</v>
      </c>
      <c r="C35" s="295"/>
      <c r="D35" s="317"/>
      <c r="E35" s="317"/>
      <c r="F35" s="317"/>
      <c r="G35" s="317"/>
      <c r="H35" s="317"/>
      <c r="I35" s="317"/>
      <c r="J35" s="317"/>
      <c r="K35" s="317"/>
      <c r="L35" s="317"/>
      <c r="M35" s="317"/>
    </row>
    <row r="36" spans="2:13">
      <c r="B36" s="295" t="s">
        <v>43</v>
      </c>
      <c r="C36" s="295"/>
      <c r="D36" s="315"/>
      <c r="E36" s="316"/>
      <c r="F36" s="316"/>
      <c r="G36" s="316"/>
      <c r="H36" s="317"/>
      <c r="I36" s="317"/>
      <c r="J36" s="317"/>
      <c r="K36" s="317"/>
      <c r="L36" s="317"/>
      <c r="M36" s="317"/>
    </row>
  </sheetData>
  <mergeCells count="38">
    <mergeCell ref="B32:C32"/>
    <mergeCell ref="D32:G32"/>
    <mergeCell ref="H32:J32"/>
    <mergeCell ref="K32:M32"/>
    <mergeCell ref="F14:F15"/>
    <mergeCell ref="G14:G15"/>
    <mergeCell ref="H14:H15"/>
    <mergeCell ref="L14:L15"/>
    <mergeCell ref="M14:M15"/>
    <mergeCell ref="B33:C33"/>
    <mergeCell ref="D33:G33"/>
    <mergeCell ref="H33:J33"/>
    <mergeCell ref="K33:M33"/>
    <mergeCell ref="B34:C34"/>
    <mergeCell ref="D34:G34"/>
    <mergeCell ref="H34:J34"/>
    <mergeCell ref="K34:M34"/>
    <mergeCell ref="B35:C35"/>
    <mergeCell ref="D35:G35"/>
    <mergeCell ref="H35:J35"/>
    <mergeCell ref="K35:M35"/>
    <mergeCell ref="B36:C36"/>
    <mergeCell ref="D36:G36"/>
    <mergeCell ref="H36:J36"/>
    <mergeCell ref="K36:M36"/>
    <mergeCell ref="B2:B5"/>
    <mergeCell ref="B14:B15"/>
    <mergeCell ref="C14:C15"/>
    <mergeCell ref="D14:D15"/>
    <mergeCell ref="E14:E15"/>
    <mergeCell ref="C2:I5"/>
    <mergeCell ref="B12:M12"/>
    <mergeCell ref="I14:K14"/>
    <mergeCell ref="B6:C6"/>
    <mergeCell ref="B7:C7"/>
    <mergeCell ref="B8:C8"/>
    <mergeCell ref="B9:C9"/>
    <mergeCell ref="B10:M10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78"/>
  <sheetViews>
    <sheetView view="pageBreakPreview" zoomScale="70" zoomScaleNormal="100" workbookViewId="0">
      <selection activeCell="M17" sqref="M17"/>
    </sheetView>
  </sheetViews>
  <sheetFormatPr defaultColWidth="9" defaultRowHeight="15"/>
  <cols>
    <col min="1" max="1" width="14.140625" customWidth="1"/>
    <col min="2" max="2" width="15.42578125" customWidth="1"/>
    <col min="3" max="3" width="10" customWidth="1"/>
    <col min="4" max="4" width="10.140625" customWidth="1"/>
    <col min="7" max="7" width="14" customWidth="1"/>
    <col min="8" max="8" width="12.5703125" customWidth="1"/>
    <col min="9" max="9" width="11.5703125" customWidth="1"/>
    <col min="10" max="10" width="11.7109375" customWidth="1"/>
    <col min="11" max="11" width="10.28515625" customWidth="1"/>
    <col min="12" max="12" width="16" customWidth="1"/>
    <col min="14" max="14" width="14.5703125" customWidth="1"/>
    <col min="15" max="15" width="12.28515625" customWidth="1"/>
    <col min="17" max="17" width="10.28515625" customWidth="1"/>
    <col min="18" max="18" width="12.28515625" customWidth="1"/>
    <col min="20" max="20" width="11.42578125" customWidth="1"/>
    <col min="23" max="23" width="11.28515625" customWidth="1"/>
    <col min="24" max="24" width="13.140625" customWidth="1"/>
    <col min="25" max="25" width="14.7109375" customWidth="1"/>
    <col min="27" max="27" width="14" customWidth="1"/>
    <col min="28" max="28" width="12.140625" customWidth="1"/>
    <col min="29" max="29" width="10.140625" customWidth="1"/>
    <col min="30" max="30" width="11" customWidth="1"/>
    <col min="31" max="31" width="10.5703125" customWidth="1"/>
    <col min="33" max="33" width="24.42578125" customWidth="1"/>
    <col min="36" max="36" width="12.42578125" customWidth="1"/>
    <col min="37" max="37" width="11.85546875" customWidth="1"/>
    <col min="38" max="38" width="18" customWidth="1"/>
  </cols>
  <sheetData>
    <row r="1" spans="1:38" ht="23.25" customHeight="1">
      <c r="A1" s="206"/>
      <c r="B1" s="211" t="s">
        <v>44</v>
      </c>
      <c r="C1" s="212"/>
      <c r="D1" s="212"/>
      <c r="E1" s="212"/>
      <c r="F1" s="212"/>
      <c r="G1" s="212"/>
      <c r="H1" s="212"/>
      <c r="I1" s="212"/>
      <c r="J1" s="20"/>
      <c r="K1" s="20"/>
      <c r="L1" s="21"/>
      <c r="N1" s="206"/>
      <c r="O1" s="211" t="s">
        <v>44</v>
      </c>
      <c r="P1" s="212"/>
      <c r="Q1" s="212"/>
      <c r="R1" s="212"/>
      <c r="S1" s="212"/>
      <c r="T1" s="212"/>
      <c r="U1" s="212"/>
      <c r="V1" s="212"/>
      <c r="W1" s="20"/>
      <c r="X1" s="20"/>
      <c r="Y1" s="21"/>
      <c r="AA1" s="206"/>
      <c r="AB1" s="211" t="s">
        <v>44</v>
      </c>
      <c r="AC1" s="212"/>
      <c r="AD1" s="212"/>
      <c r="AE1" s="212"/>
      <c r="AF1" s="212"/>
      <c r="AG1" s="212"/>
      <c r="AH1" s="212"/>
      <c r="AI1" s="212"/>
      <c r="AJ1" s="20"/>
      <c r="AK1" s="20"/>
      <c r="AL1" s="21"/>
    </row>
    <row r="2" spans="1:38" ht="23.25" customHeight="1">
      <c r="A2" s="207"/>
      <c r="B2" s="214"/>
      <c r="C2" s="215"/>
      <c r="D2" s="215"/>
      <c r="E2" s="215"/>
      <c r="F2" s="215"/>
      <c r="G2" s="215"/>
      <c r="H2" s="215"/>
      <c r="I2" s="215"/>
      <c r="L2" s="22"/>
      <c r="N2" s="207"/>
      <c r="O2" s="214"/>
      <c r="P2" s="215"/>
      <c r="Q2" s="215"/>
      <c r="R2" s="215"/>
      <c r="S2" s="215"/>
      <c r="T2" s="215"/>
      <c r="U2" s="215"/>
      <c r="V2" s="215"/>
      <c r="Y2" s="22"/>
      <c r="AA2" s="207"/>
      <c r="AB2" s="214"/>
      <c r="AC2" s="215"/>
      <c r="AD2" s="215"/>
      <c r="AE2" s="215"/>
      <c r="AF2" s="215"/>
      <c r="AG2" s="215"/>
      <c r="AH2" s="215"/>
      <c r="AI2" s="215"/>
      <c r="AL2" s="22"/>
    </row>
    <row r="3" spans="1:38" ht="23.25" customHeight="1">
      <c r="A3" s="207"/>
      <c r="B3" s="214"/>
      <c r="C3" s="215"/>
      <c r="D3" s="215"/>
      <c r="E3" s="215"/>
      <c r="F3" s="215"/>
      <c r="G3" s="215"/>
      <c r="H3" s="215"/>
      <c r="I3" s="215"/>
      <c r="L3" s="22"/>
      <c r="N3" s="207"/>
      <c r="O3" s="214"/>
      <c r="P3" s="215"/>
      <c r="Q3" s="215"/>
      <c r="R3" s="215"/>
      <c r="S3" s="215"/>
      <c r="T3" s="215"/>
      <c r="U3" s="215"/>
      <c r="V3" s="215"/>
      <c r="Y3" s="22"/>
      <c r="AA3" s="207"/>
      <c r="AB3" s="214"/>
      <c r="AC3" s="215"/>
      <c r="AD3" s="215"/>
      <c r="AE3" s="215"/>
      <c r="AF3" s="215"/>
      <c r="AG3" s="215"/>
      <c r="AH3" s="215"/>
      <c r="AI3" s="215"/>
      <c r="AL3" s="22"/>
    </row>
    <row r="4" spans="1:38" ht="23.25" customHeight="1">
      <c r="A4" s="207"/>
      <c r="B4" s="289"/>
      <c r="C4" s="290"/>
      <c r="D4" s="290"/>
      <c r="E4" s="290"/>
      <c r="F4" s="290"/>
      <c r="G4" s="290"/>
      <c r="H4" s="290"/>
      <c r="I4" s="290"/>
      <c r="L4" s="22"/>
      <c r="N4" s="207"/>
      <c r="O4" s="289"/>
      <c r="P4" s="290"/>
      <c r="Q4" s="290"/>
      <c r="R4" s="290"/>
      <c r="S4" s="290"/>
      <c r="T4" s="290"/>
      <c r="U4" s="290"/>
      <c r="V4" s="290"/>
      <c r="Y4" s="22"/>
      <c r="AA4" s="207"/>
      <c r="AB4" s="289"/>
      <c r="AC4" s="290"/>
      <c r="AD4" s="290"/>
      <c r="AE4" s="290"/>
      <c r="AF4" s="290"/>
      <c r="AG4" s="290"/>
      <c r="AH4" s="290"/>
      <c r="AI4" s="290"/>
      <c r="AL4" s="22"/>
    </row>
    <row r="5" spans="1:38" ht="16.5">
      <c r="A5" s="223" t="s">
        <v>45</v>
      </c>
      <c r="B5" s="224"/>
      <c r="C5" s="7" t="s">
        <v>46</v>
      </c>
      <c r="D5" s="8"/>
      <c r="E5" s="8"/>
      <c r="F5" s="8"/>
      <c r="G5" s="8"/>
      <c r="H5" s="8"/>
      <c r="I5" s="8"/>
      <c r="J5" s="8"/>
      <c r="K5" s="8"/>
      <c r="L5" s="23"/>
      <c r="N5" s="223" t="s">
        <v>45</v>
      </c>
      <c r="O5" s="224"/>
      <c r="P5" s="7" t="s">
        <v>46</v>
      </c>
      <c r="Q5" s="8"/>
      <c r="R5" s="8"/>
      <c r="S5" s="8"/>
      <c r="T5" s="8"/>
      <c r="U5" s="8"/>
      <c r="V5" s="8"/>
      <c r="W5" s="8"/>
      <c r="X5" s="8"/>
      <c r="Y5" s="23"/>
      <c r="AA5" s="223" t="s">
        <v>45</v>
      </c>
      <c r="AB5" s="224"/>
      <c r="AC5" s="7" t="s">
        <v>46</v>
      </c>
      <c r="AD5" s="8"/>
      <c r="AE5" s="8"/>
      <c r="AF5" s="8"/>
      <c r="AG5" s="8"/>
      <c r="AH5" s="8"/>
      <c r="AI5" s="8"/>
      <c r="AJ5" s="8"/>
      <c r="AK5" s="8"/>
      <c r="AL5" s="23"/>
    </row>
    <row r="6" spans="1:38" ht="16.5">
      <c r="A6" s="223" t="s">
        <v>48</v>
      </c>
      <c r="B6" s="224"/>
      <c r="C6" s="7" t="s">
        <v>49</v>
      </c>
      <c r="D6" s="8"/>
      <c r="E6" s="8"/>
      <c r="F6" s="8"/>
      <c r="G6" s="8"/>
      <c r="H6" s="8"/>
      <c r="I6" s="8"/>
      <c r="J6" s="8"/>
      <c r="K6" s="8"/>
      <c r="L6" s="23"/>
      <c r="N6" s="223" t="s">
        <v>48</v>
      </c>
      <c r="O6" s="224"/>
      <c r="P6" s="7" t="s">
        <v>49</v>
      </c>
      <c r="Q6" s="8"/>
      <c r="R6" s="8"/>
      <c r="S6" s="8"/>
      <c r="T6" s="8"/>
      <c r="U6" s="8"/>
      <c r="V6" s="8"/>
      <c r="W6" s="8"/>
      <c r="X6" s="8"/>
      <c r="Y6" s="23"/>
      <c r="AA6" s="223" t="s">
        <v>48</v>
      </c>
      <c r="AB6" s="224"/>
      <c r="AC6" s="7" t="s">
        <v>49</v>
      </c>
      <c r="AD6" s="8"/>
      <c r="AE6" s="8"/>
      <c r="AF6" s="8"/>
      <c r="AG6" s="8"/>
      <c r="AH6" s="8"/>
      <c r="AI6" s="8"/>
      <c r="AJ6" s="8"/>
      <c r="AK6" s="8"/>
      <c r="AL6" s="23"/>
    </row>
    <row r="7" spans="1:38" ht="16.5">
      <c r="A7" s="225" t="s">
        <v>50</v>
      </c>
      <c r="B7" s="226"/>
      <c r="C7" s="7" t="s">
        <v>51</v>
      </c>
      <c r="D7" s="8"/>
      <c r="E7" s="8"/>
      <c r="F7" s="8"/>
      <c r="G7" s="8"/>
      <c r="H7" s="8"/>
      <c r="I7" s="8"/>
      <c r="J7" s="8"/>
      <c r="K7" s="8"/>
      <c r="L7" s="23"/>
      <c r="N7" s="225" t="s">
        <v>50</v>
      </c>
      <c r="O7" s="226"/>
      <c r="P7" s="7" t="s">
        <v>51</v>
      </c>
      <c r="Q7" s="8"/>
      <c r="R7" s="8"/>
      <c r="S7" s="8"/>
      <c r="T7" s="8"/>
      <c r="U7" s="8"/>
      <c r="V7" s="8"/>
      <c r="W7" s="8"/>
      <c r="X7" s="8"/>
      <c r="Y7" s="23"/>
      <c r="AA7" s="225" t="s">
        <v>50</v>
      </c>
      <c r="AB7" s="226"/>
      <c r="AC7" s="7" t="s">
        <v>51</v>
      </c>
      <c r="AD7" s="8"/>
      <c r="AE7" s="8"/>
      <c r="AF7" s="8"/>
      <c r="AG7" s="8"/>
      <c r="AH7" s="8"/>
      <c r="AI7" s="8"/>
      <c r="AJ7" s="8"/>
      <c r="AK7" s="8"/>
      <c r="AL7" s="23"/>
    </row>
    <row r="8" spans="1:38" ht="16.5">
      <c r="A8" s="223" t="s">
        <v>52</v>
      </c>
      <c r="B8" s="224"/>
      <c r="C8" s="7" t="s">
        <v>53</v>
      </c>
      <c r="D8" s="8"/>
      <c r="E8" s="8"/>
      <c r="F8" s="8"/>
      <c r="G8" s="8"/>
      <c r="H8" s="8"/>
      <c r="I8" s="8"/>
      <c r="J8" s="8"/>
      <c r="K8" s="8"/>
      <c r="L8" s="23"/>
      <c r="N8" s="223" t="s">
        <v>52</v>
      </c>
      <c r="O8" s="224"/>
      <c r="P8" s="7" t="s">
        <v>53</v>
      </c>
      <c r="Q8" s="8"/>
      <c r="R8" s="8"/>
      <c r="S8" s="8"/>
      <c r="T8" s="8"/>
      <c r="U8" s="8"/>
      <c r="V8" s="8"/>
      <c r="W8" s="8"/>
      <c r="X8" s="8"/>
      <c r="Y8" s="23"/>
      <c r="AA8" s="223" t="s">
        <v>52</v>
      </c>
      <c r="AB8" s="224"/>
      <c r="AC8" s="7" t="s">
        <v>53</v>
      </c>
      <c r="AD8" s="8"/>
      <c r="AE8" s="8"/>
      <c r="AF8" s="8"/>
      <c r="AG8" s="8"/>
      <c r="AH8" s="8"/>
      <c r="AI8" s="8"/>
      <c r="AJ8" s="8"/>
      <c r="AK8" s="8"/>
      <c r="AL8" s="23"/>
    </row>
    <row r="9" spans="1:38" ht="15.75">
      <c r="A9" s="227" t="s">
        <v>249</v>
      </c>
      <c r="B9" s="228"/>
      <c r="C9" s="228"/>
      <c r="D9" s="228"/>
      <c r="E9" s="228"/>
      <c r="F9" s="228"/>
      <c r="G9" s="228"/>
      <c r="H9" s="228"/>
      <c r="I9" s="228"/>
      <c r="J9" s="228"/>
      <c r="K9" s="228"/>
      <c r="L9" s="229"/>
      <c r="N9" s="227" t="s">
        <v>249</v>
      </c>
      <c r="O9" s="228"/>
      <c r="P9" s="228"/>
      <c r="Q9" s="228"/>
      <c r="R9" s="228"/>
      <c r="S9" s="228"/>
      <c r="T9" s="228"/>
      <c r="U9" s="228"/>
      <c r="V9" s="228"/>
      <c r="W9" s="228"/>
      <c r="X9" s="228"/>
      <c r="Y9" s="229"/>
      <c r="AA9" s="227" t="s">
        <v>249</v>
      </c>
      <c r="AB9" s="228"/>
      <c r="AC9" s="228"/>
      <c r="AD9" s="228"/>
      <c r="AE9" s="228"/>
      <c r="AF9" s="228"/>
      <c r="AG9" s="228"/>
      <c r="AH9" s="228"/>
      <c r="AI9" s="228"/>
      <c r="AJ9" s="228"/>
      <c r="AK9" s="228"/>
      <c r="AL9" s="229"/>
    </row>
    <row r="10" spans="1:38" ht="15.75">
      <c r="A10" s="11" t="s">
        <v>55</v>
      </c>
      <c r="B10" s="12"/>
      <c r="C10" s="12"/>
      <c r="D10" s="12"/>
      <c r="E10" s="12"/>
      <c r="F10" s="12"/>
      <c r="G10" s="24" t="s">
        <v>56</v>
      </c>
      <c r="H10" s="25"/>
      <c r="I10" s="12"/>
      <c r="J10" s="12"/>
      <c r="K10" s="12"/>
      <c r="L10" s="26"/>
      <c r="N10" s="11" t="s">
        <v>55</v>
      </c>
      <c r="O10" s="12"/>
      <c r="P10" s="12"/>
      <c r="Q10" s="12"/>
      <c r="R10" s="12"/>
      <c r="S10" s="12"/>
      <c r="T10" s="24" t="s">
        <v>56</v>
      </c>
      <c r="U10" s="25"/>
      <c r="V10" s="12"/>
      <c r="W10" s="12"/>
      <c r="X10" s="12"/>
      <c r="Y10" s="26"/>
      <c r="AA10" s="11" t="s">
        <v>55</v>
      </c>
      <c r="AB10" s="12"/>
      <c r="AC10" s="12"/>
      <c r="AD10" s="12"/>
      <c r="AE10" s="12"/>
      <c r="AF10" s="12"/>
      <c r="AG10" s="24" t="s">
        <v>56</v>
      </c>
      <c r="AH10" s="25"/>
      <c r="AI10" s="12"/>
      <c r="AJ10" s="12"/>
      <c r="AK10" s="12"/>
      <c r="AL10" s="26"/>
    </row>
    <row r="11" spans="1:38">
      <c r="A11" s="217"/>
      <c r="B11" s="218"/>
      <c r="C11" s="218"/>
      <c r="D11" s="218"/>
      <c r="E11" s="218"/>
      <c r="F11" s="218"/>
      <c r="G11" s="218"/>
      <c r="H11" s="218"/>
      <c r="I11" s="218"/>
      <c r="J11" s="218"/>
      <c r="K11" s="218"/>
      <c r="L11" s="219"/>
      <c r="N11" s="217"/>
      <c r="O11" s="218"/>
      <c r="P11" s="218"/>
      <c r="Q11" s="218"/>
      <c r="R11" s="218"/>
      <c r="S11" s="218"/>
      <c r="T11" s="218"/>
      <c r="U11" s="218"/>
      <c r="V11" s="218"/>
      <c r="W11" s="218"/>
      <c r="X11" s="218"/>
      <c r="Y11" s="219"/>
      <c r="AA11" s="217"/>
      <c r="AB11" s="218"/>
      <c r="AC11" s="218"/>
      <c r="AD11" s="218"/>
      <c r="AE11" s="218"/>
      <c r="AF11" s="218"/>
      <c r="AG11" s="218"/>
      <c r="AH11" s="218"/>
      <c r="AI11" s="218"/>
      <c r="AJ11" s="218"/>
      <c r="AK11" s="218"/>
      <c r="AL11" s="219"/>
    </row>
    <row r="12" spans="1:38">
      <c r="A12" s="11" t="s">
        <v>103</v>
      </c>
      <c r="B12" s="106">
        <v>45099</v>
      </c>
      <c r="C12" s="73"/>
      <c r="D12" s="24"/>
      <c r="E12" s="74"/>
      <c r="F12" s="25"/>
      <c r="G12" s="24" t="s">
        <v>542</v>
      </c>
      <c r="H12" s="111">
        <v>45099</v>
      </c>
      <c r="I12" s="74"/>
      <c r="J12" s="74"/>
      <c r="K12" s="74"/>
      <c r="L12" s="80"/>
      <c r="N12" s="11" t="s">
        <v>103</v>
      </c>
      <c r="O12" s="106">
        <v>45101</v>
      </c>
      <c r="P12" s="73"/>
      <c r="Q12" s="24"/>
      <c r="R12" s="74"/>
      <c r="S12" s="25"/>
      <c r="T12" s="24" t="s">
        <v>542</v>
      </c>
      <c r="V12" s="326">
        <v>45101</v>
      </c>
      <c r="W12" s="240"/>
      <c r="X12" s="74"/>
      <c r="Y12" s="80"/>
      <c r="AA12" s="11" t="s">
        <v>103</v>
      </c>
      <c r="AB12" s="106"/>
      <c r="AC12" s="73"/>
      <c r="AD12" s="24"/>
      <c r="AE12" s="74"/>
      <c r="AF12" s="25"/>
      <c r="AG12" s="24" t="s">
        <v>542</v>
      </c>
      <c r="AI12" s="74"/>
      <c r="AJ12" s="74"/>
      <c r="AK12" s="74"/>
      <c r="AL12" s="80"/>
    </row>
    <row r="13" spans="1:38">
      <c r="A13" s="208" t="s">
        <v>59</v>
      </c>
      <c r="B13" s="209" t="s">
        <v>60</v>
      </c>
      <c r="C13" s="210" t="s">
        <v>61</v>
      </c>
      <c r="D13" s="210" t="s">
        <v>62</v>
      </c>
      <c r="E13" s="210" t="s">
        <v>63</v>
      </c>
      <c r="F13" s="210" t="s">
        <v>64</v>
      </c>
      <c r="G13" s="243" t="s">
        <v>65</v>
      </c>
      <c r="H13" s="220" t="s">
        <v>66</v>
      </c>
      <c r="I13" s="221"/>
      <c r="J13" s="222"/>
      <c r="K13" s="209" t="s">
        <v>30</v>
      </c>
      <c r="L13" s="244" t="s">
        <v>67</v>
      </c>
      <c r="N13" s="208" t="s">
        <v>59</v>
      </c>
      <c r="O13" s="209" t="s">
        <v>60</v>
      </c>
      <c r="P13" s="210" t="s">
        <v>61</v>
      </c>
      <c r="Q13" s="210" t="s">
        <v>62</v>
      </c>
      <c r="R13" s="210" t="s">
        <v>63</v>
      </c>
      <c r="S13" s="210" t="s">
        <v>64</v>
      </c>
      <c r="T13" s="243" t="s">
        <v>65</v>
      </c>
      <c r="U13" s="220" t="s">
        <v>66</v>
      </c>
      <c r="V13" s="221"/>
      <c r="W13" s="222"/>
      <c r="X13" s="209" t="s">
        <v>30</v>
      </c>
      <c r="Y13" s="244" t="s">
        <v>67</v>
      </c>
      <c r="AA13" s="208" t="s">
        <v>59</v>
      </c>
      <c r="AB13" s="209" t="s">
        <v>60</v>
      </c>
      <c r="AC13" s="210" t="s">
        <v>61</v>
      </c>
      <c r="AD13" s="210" t="s">
        <v>62</v>
      </c>
      <c r="AE13" s="210" t="s">
        <v>63</v>
      </c>
      <c r="AF13" s="210" t="s">
        <v>64</v>
      </c>
      <c r="AG13" s="243" t="s">
        <v>65</v>
      </c>
      <c r="AH13" s="220" t="s">
        <v>66</v>
      </c>
      <c r="AI13" s="221"/>
      <c r="AJ13" s="222"/>
      <c r="AK13" s="209" t="s">
        <v>30</v>
      </c>
      <c r="AL13" s="244" t="s">
        <v>67</v>
      </c>
    </row>
    <row r="14" spans="1:38" ht="60">
      <c r="A14" s="208"/>
      <c r="B14" s="209"/>
      <c r="C14" s="210"/>
      <c r="D14" s="210"/>
      <c r="E14" s="210"/>
      <c r="F14" s="210"/>
      <c r="G14" s="243"/>
      <c r="H14" s="16" t="s">
        <v>68</v>
      </c>
      <c r="I14" s="62" t="s">
        <v>69</v>
      </c>
      <c r="J14" s="16" t="s">
        <v>70</v>
      </c>
      <c r="K14" s="209"/>
      <c r="L14" s="244"/>
      <c r="N14" s="208"/>
      <c r="O14" s="209"/>
      <c r="P14" s="210"/>
      <c r="Q14" s="210"/>
      <c r="R14" s="210"/>
      <c r="S14" s="210"/>
      <c r="T14" s="243"/>
      <c r="U14" s="16" t="s">
        <v>68</v>
      </c>
      <c r="V14" s="62" t="s">
        <v>69</v>
      </c>
      <c r="W14" s="16" t="s">
        <v>70</v>
      </c>
      <c r="X14" s="209"/>
      <c r="Y14" s="244"/>
      <c r="AA14" s="208"/>
      <c r="AB14" s="209"/>
      <c r="AC14" s="210"/>
      <c r="AD14" s="210"/>
      <c r="AE14" s="210"/>
      <c r="AF14" s="210"/>
      <c r="AG14" s="243"/>
      <c r="AH14" s="16" t="s">
        <v>68</v>
      </c>
      <c r="AI14" s="62" t="s">
        <v>69</v>
      </c>
      <c r="AJ14" s="16" t="s">
        <v>70</v>
      </c>
      <c r="AK14" s="209"/>
      <c r="AL14" s="244"/>
    </row>
    <row r="15" spans="1:38">
      <c r="A15" s="29">
        <v>1</v>
      </c>
      <c r="B15" s="33" t="s">
        <v>71</v>
      </c>
      <c r="C15" s="33">
        <v>160</v>
      </c>
      <c r="D15" s="33" t="s">
        <v>543</v>
      </c>
      <c r="E15" s="33" t="s">
        <v>544</v>
      </c>
      <c r="F15" s="33">
        <v>364.3</v>
      </c>
      <c r="G15" s="33" t="s">
        <v>285</v>
      </c>
      <c r="H15" s="33">
        <v>3.3</v>
      </c>
      <c r="I15" s="33">
        <v>1</v>
      </c>
      <c r="J15" s="33">
        <v>4.3</v>
      </c>
      <c r="K15" s="33" t="s">
        <v>114</v>
      </c>
      <c r="L15" s="61"/>
      <c r="N15" s="29">
        <v>1</v>
      </c>
      <c r="O15" s="29" t="s">
        <v>71</v>
      </c>
      <c r="P15" s="29">
        <v>110</v>
      </c>
      <c r="Q15" s="29" t="s">
        <v>545</v>
      </c>
      <c r="R15" s="29" t="s">
        <v>546</v>
      </c>
      <c r="S15" s="29">
        <v>180</v>
      </c>
      <c r="T15" s="33" t="s">
        <v>106</v>
      </c>
      <c r="U15" s="33">
        <v>3.5</v>
      </c>
      <c r="V15" s="33">
        <v>1</v>
      </c>
      <c r="W15" s="33">
        <v>4.5</v>
      </c>
      <c r="X15" s="33" t="s">
        <v>114</v>
      </c>
      <c r="Y15" s="61"/>
      <c r="AA15" s="29">
        <v>1</v>
      </c>
      <c r="AB15" s="29" t="s">
        <v>71</v>
      </c>
      <c r="AC15" s="29">
        <v>90</v>
      </c>
      <c r="AD15" s="33" t="s">
        <v>547</v>
      </c>
      <c r="AE15" s="33" t="s">
        <v>548</v>
      </c>
      <c r="AF15" s="33">
        <v>63.2</v>
      </c>
      <c r="AG15" s="33" t="s">
        <v>106</v>
      </c>
      <c r="AH15" s="33">
        <v>3.5</v>
      </c>
      <c r="AI15" s="33">
        <v>1</v>
      </c>
      <c r="AJ15" s="33">
        <v>4.5</v>
      </c>
      <c r="AK15" s="33" t="s">
        <v>114</v>
      </c>
      <c r="AL15" s="61"/>
    </row>
    <row r="16" spans="1:38">
      <c r="A16" s="29">
        <f>1+A15</f>
        <v>2</v>
      </c>
      <c r="B16" s="33" t="s">
        <v>71</v>
      </c>
      <c r="C16" s="33">
        <v>63</v>
      </c>
      <c r="D16" s="33" t="s">
        <v>544</v>
      </c>
      <c r="E16" s="33" t="s">
        <v>549</v>
      </c>
      <c r="F16" s="33">
        <v>27.5</v>
      </c>
      <c r="G16" s="33" t="s">
        <v>285</v>
      </c>
      <c r="H16" s="33">
        <v>3.3</v>
      </c>
      <c r="I16" s="33">
        <v>1</v>
      </c>
      <c r="J16" s="33">
        <v>4.3</v>
      </c>
      <c r="K16" s="33" t="s">
        <v>114</v>
      </c>
      <c r="L16" s="61"/>
      <c r="N16" s="29">
        <f>1+N15</f>
        <v>2</v>
      </c>
      <c r="O16" s="29" t="s">
        <v>71</v>
      </c>
      <c r="P16" s="29">
        <v>160</v>
      </c>
      <c r="Q16" s="29" t="s">
        <v>550</v>
      </c>
      <c r="R16" s="29" t="s">
        <v>551</v>
      </c>
      <c r="S16" s="29">
        <v>56.3</v>
      </c>
      <c r="T16" s="33" t="s">
        <v>106</v>
      </c>
      <c r="U16" s="33">
        <v>3.5</v>
      </c>
      <c r="V16" s="33">
        <v>1</v>
      </c>
      <c r="W16" s="33">
        <v>4.5</v>
      </c>
      <c r="X16" s="33" t="s">
        <v>114</v>
      </c>
      <c r="Y16" s="61"/>
      <c r="AA16" s="29">
        <f>1+AA15</f>
        <v>2</v>
      </c>
      <c r="AB16" s="29" t="s">
        <v>71</v>
      </c>
      <c r="AC16" s="29">
        <v>90</v>
      </c>
      <c r="AD16" s="33" t="s">
        <v>548</v>
      </c>
      <c r="AE16" s="33" t="s">
        <v>552</v>
      </c>
      <c r="AF16" s="33">
        <v>97.5</v>
      </c>
      <c r="AG16" s="33" t="s">
        <v>106</v>
      </c>
      <c r="AH16" s="33">
        <v>3.5</v>
      </c>
      <c r="AI16" s="33">
        <v>1</v>
      </c>
      <c r="AJ16" s="33">
        <v>4.5</v>
      </c>
      <c r="AK16" s="33" t="s">
        <v>114</v>
      </c>
      <c r="AL16" s="61"/>
    </row>
    <row r="17" spans="1:38">
      <c r="A17" s="29">
        <f t="shared" ref="A17:A60" si="0">1+A16</f>
        <v>3</v>
      </c>
      <c r="B17" s="33" t="s">
        <v>71</v>
      </c>
      <c r="C17" s="110">
        <v>160</v>
      </c>
      <c r="D17" s="110" t="s">
        <v>544</v>
      </c>
      <c r="E17" s="110" t="s">
        <v>553</v>
      </c>
      <c r="F17" s="33">
        <v>431.5</v>
      </c>
      <c r="G17" s="33" t="s">
        <v>285</v>
      </c>
      <c r="H17" s="33">
        <v>3.3</v>
      </c>
      <c r="I17" s="33">
        <v>1</v>
      </c>
      <c r="J17" s="33">
        <v>4.3</v>
      </c>
      <c r="K17" s="33" t="s">
        <v>114</v>
      </c>
      <c r="L17" s="61"/>
      <c r="N17" s="29">
        <f t="shared" ref="N17:N73" si="1">1+N16</f>
        <v>3</v>
      </c>
      <c r="O17" s="29" t="s">
        <v>71</v>
      </c>
      <c r="P17" s="29">
        <v>63</v>
      </c>
      <c r="Q17" s="29" t="s">
        <v>551</v>
      </c>
      <c r="R17" s="29" t="s">
        <v>554</v>
      </c>
      <c r="S17" s="29">
        <v>33</v>
      </c>
      <c r="T17" s="33" t="s">
        <v>106</v>
      </c>
      <c r="U17" s="33">
        <v>3.5</v>
      </c>
      <c r="V17" s="33">
        <v>1</v>
      </c>
      <c r="W17" s="33">
        <v>4.5</v>
      </c>
      <c r="X17" s="33" t="s">
        <v>114</v>
      </c>
      <c r="Y17" s="61"/>
      <c r="AA17" s="29">
        <f t="shared" ref="AA17:AA22" si="2">1+AA16</f>
        <v>3</v>
      </c>
      <c r="AB17" s="29" t="s">
        <v>71</v>
      </c>
      <c r="AC17" s="29">
        <v>90</v>
      </c>
      <c r="AD17" s="33" t="s">
        <v>552</v>
      </c>
      <c r="AE17" s="33" t="s">
        <v>555</v>
      </c>
      <c r="AF17" s="33">
        <v>27.2</v>
      </c>
      <c r="AG17" s="33" t="s">
        <v>106</v>
      </c>
      <c r="AH17" s="33">
        <v>3.5</v>
      </c>
      <c r="AI17" s="33">
        <v>1</v>
      </c>
      <c r="AJ17" s="33">
        <v>4.5</v>
      </c>
      <c r="AK17" s="33" t="s">
        <v>114</v>
      </c>
      <c r="AL17" s="61"/>
    </row>
    <row r="18" spans="1:38">
      <c r="A18" s="29">
        <f t="shared" si="0"/>
        <v>4</v>
      </c>
      <c r="B18" s="33" t="s">
        <v>71</v>
      </c>
      <c r="C18" s="33">
        <v>160</v>
      </c>
      <c r="D18" s="33" t="s">
        <v>553</v>
      </c>
      <c r="E18" s="33" t="s">
        <v>556</v>
      </c>
      <c r="F18" s="33">
        <v>45.1</v>
      </c>
      <c r="G18" s="33" t="s">
        <v>285</v>
      </c>
      <c r="H18" s="33">
        <v>3.3</v>
      </c>
      <c r="I18" s="33">
        <v>1</v>
      </c>
      <c r="J18" s="33">
        <v>4.3</v>
      </c>
      <c r="K18" s="33" t="s">
        <v>114</v>
      </c>
      <c r="L18" s="61"/>
      <c r="N18" s="29">
        <f t="shared" si="1"/>
        <v>4</v>
      </c>
      <c r="O18" s="29" t="s">
        <v>71</v>
      </c>
      <c r="P18" s="29">
        <v>160</v>
      </c>
      <c r="Q18" s="29" t="s">
        <v>551</v>
      </c>
      <c r="R18" s="29" t="s">
        <v>557</v>
      </c>
      <c r="S18" s="29">
        <v>90.1</v>
      </c>
      <c r="T18" s="33" t="s">
        <v>106</v>
      </c>
      <c r="U18" s="33">
        <v>3.5</v>
      </c>
      <c r="V18" s="33">
        <v>1</v>
      </c>
      <c r="W18" s="33">
        <v>4.5</v>
      </c>
      <c r="X18" s="33" t="s">
        <v>114</v>
      </c>
      <c r="Y18" s="61"/>
      <c r="AA18" s="29">
        <f t="shared" si="2"/>
        <v>4</v>
      </c>
      <c r="AB18" s="29" t="s">
        <v>71</v>
      </c>
      <c r="AC18" s="29">
        <v>90</v>
      </c>
      <c r="AD18" s="33" t="s">
        <v>552</v>
      </c>
      <c r="AE18" s="33" t="s">
        <v>558</v>
      </c>
      <c r="AF18" s="33">
        <v>182.7</v>
      </c>
      <c r="AG18" s="33" t="s">
        <v>106</v>
      </c>
      <c r="AH18" s="33">
        <v>3.5</v>
      </c>
      <c r="AI18" s="33">
        <v>1</v>
      </c>
      <c r="AJ18" s="33">
        <v>4.5</v>
      </c>
      <c r="AK18" s="33" t="s">
        <v>114</v>
      </c>
      <c r="AL18" s="61"/>
    </row>
    <row r="19" spans="1:38">
      <c r="A19" s="29">
        <f t="shared" si="0"/>
        <v>5</v>
      </c>
      <c r="B19" s="33" t="s">
        <v>71</v>
      </c>
      <c r="C19" s="33">
        <v>110</v>
      </c>
      <c r="D19" s="33" t="s">
        <v>556</v>
      </c>
      <c r="E19" s="33" t="s">
        <v>559</v>
      </c>
      <c r="F19" s="33">
        <v>66.2</v>
      </c>
      <c r="G19" s="33" t="s">
        <v>285</v>
      </c>
      <c r="H19" s="33">
        <v>3.3</v>
      </c>
      <c r="I19" s="33">
        <v>1</v>
      </c>
      <c r="J19" s="33">
        <v>4.3</v>
      </c>
      <c r="K19" s="33" t="s">
        <v>114</v>
      </c>
      <c r="L19" s="61"/>
      <c r="N19" s="29">
        <f t="shared" si="1"/>
        <v>5</v>
      </c>
      <c r="O19" s="29" t="s">
        <v>71</v>
      </c>
      <c r="P19" s="29">
        <v>75</v>
      </c>
      <c r="Q19" s="29" t="s">
        <v>557</v>
      </c>
      <c r="R19" s="29" t="s">
        <v>560</v>
      </c>
      <c r="S19" s="29">
        <v>107</v>
      </c>
      <c r="T19" s="33" t="s">
        <v>106</v>
      </c>
      <c r="U19" s="33">
        <v>3.5</v>
      </c>
      <c r="V19" s="33">
        <v>1</v>
      </c>
      <c r="W19" s="33">
        <v>4.5</v>
      </c>
      <c r="X19" s="33" t="s">
        <v>114</v>
      </c>
      <c r="Y19" s="61"/>
      <c r="AA19" s="29">
        <f t="shared" si="2"/>
        <v>5</v>
      </c>
      <c r="AB19" s="29" t="s">
        <v>71</v>
      </c>
      <c r="AC19" s="29">
        <v>110</v>
      </c>
      <c r="AD19" s="33" t="s">
        <v>561</v>
      </c>
      <c r="AE19" s="33" t="s">
        <v>562</v>
      </c>
      <c r="AF19" s="33">
        <v>165</v>
      </c>
      <c r="AG19" s="33" t="s">
        <v>106</v>
      </c>
      <c r="AH19" s="33">
        <v>3.5</v>
      </c>
      <c r="AI19" s="33">
        <v>1</v>
      </c>
      <c r="AJ19" s="33">
        <v>4.5</v>
      </c>
      <c r="AK19" s="33" t="s">
        <v>114</v>
      </c>
      <c r="AL19" s="61"/>
    </row>
    <row r="20" spans="1:38">
      <c r="A20" s="29">
        <f t="shared" si="0"/>
        <v>6</v>
      </c>
      <c r="B20" s="33" t="s">
        <v>71</v>
      </c>
      <c r="C20" s="33">
        <v>63</v>
      </c>
      <c r="D20" s="33" t="s">
        <v>559</v>
      </c>
      <c r="E20" s="33" t="s">
        <v>515</v>
      </c>
      <c r="F20" s="33">
        <v>286.60000000000002</v>
      </c>
      <c r="G20" s="33" t="s">
        <v>285</v>
      </c>
      <c r="H20" s="33">
        <v>3.3</v>
      </c>
      <c r="I20" s="33">
        <v>1</v>
      </c>
      <c r="J20" s="33">
        <v>4.3</v>
      </c>
      <c r="K20" s="33" t="s">
        <v>114</v>
      </c>
      <c r="L20" s="61"/>
      <c r="N20" s="29">
        <f t="shared" si="1"/>
        <v>6</v>
      </c>
      <c r="O20" s="29" t="s">
        <v>71</v>
      </c>
      <c r="P20" s="29">
        <v>63</v>
      </c>
      <c r="Q20" s="29" t="s">
        <v>560</v>
      </c>
      <c r="R20" s="29" t="s">
        <v>563</v>
      </c>
      <c r="S20" s="29">
        <v>128</v>
      </c>
      <c r="T20" s="33" t="s">
        <v>106</v>
      </c>
      <c r="U20" s="33">
        <v>3.5</v>
      </c>
      <c r="V20" s="33">
        <v>1</v>
      </c>
      <c r="W20" s="33">
        <v>4.5</v>
      </c>
      <c r="X20" s="33" t="s">
        <v>114</v>
      </c>
      <c r="Y20" s="61"/>
      <c r="AA20" s="29">
        <f t="shared" si="2"/>
        <v>6</v>
      </c>
      <c r="AB20" s="29" t="s">
        <v>71</v>
      </c>
      <c r="AC20" s="29">
        <v>110</v>
      </c>
      <c r="AD20" s="33" t="s">
        <v>562</v>
      </c>
      <c r="AE20" s="33" t="s">
        <v>564</v>
      </c>
      <c r="AF20" s="33">
        <v>30.3</v>
      </c>
      <c r="AG20" s="33" t="s">
        <v>106</v>
      </c>
      <c r="AH20" s="33">
        <v>3.5</v>
      </c>
      <c r="AI20" s="33">
        <v>1</v>
      </c>
      <c r="AJ20" s="33">
        <v>4.5</v>
      </c>
      <c r="AK20" s="33" t="s">
        <v>114</v>
      </c>
      <c r="AL20" s="61"/>
    </row>
    <row r="21" spans="1:38">
      <c r="A21" s="29">
        <f t="shared" si="0"/>
        <v>7</v>
      </c>
      <c r="B21" s="33" t="s">
        <v>71</v>
      </c>
      <c r="C21" s="33">
        <v>110</v>
      </c>
      <c r="D21" s="33" t="s">
        <v>559</v>
      </c>
      <c r="E21" s="33" t="s">
        <v>565</v>
      </c>
      <c r="F21" s="33">
        <v>265</v>
      </c>
      <c r="G21" s="33" t="s">
        <v>285</v>
      </c>
      <c r="H21" s="33">
        <v>3.3</v>
      </c>
      <c r="I21" s="33">
        <v>1</v>
      </c>
      <c r="J21" s="33">
        <v>4.3</v>
      </c>
      <c r="K21" s="33" t="s">
        <v>114</v>
      </c>
      <c r="L21" s="61"/>
      <c r="N21" s="29">
        <f t="shared" si="1"/>
        <v>7</v>
      </c>
      <c r="O21" s="29" t="s">
        <v>71</v>
      </c>
      <c r="P21" s="29">
        <v>63</v>
      </c>
      <c r="Q21" s="29" t="s">
        <v>566</v>
      </c>
      <c r="R21" s="29" t="s">
        <v>567</v>
      </c>
      <c r="S21" s="29">
        <v>69</v>
      </c>
      <c r="T21" s="33" t="s">
        <v>106</v>
      </c>
      <c r="U21" s="33">
        <v>3.5</v>
      </c>
      <c r="V21" s="33">
        <v>1</v>
      </c>
      <c r="W21" s="33">
        <v>4.5</v>
      </c>
      <c r="X21" s="33" t="s">
        <v>114</v>
      </c>
      <c r="Y21" s="61"/>
      <c r="AA21" s="29">
        <f t="shared" si="2"/>
        <v>7</v>
      </c>
      <c r="AB21" s="29" t="s">
        <v>71</v>
      </c>
      <c r="AC21" s="29">
        <v>90</v>
      </c>
      <c r="AD21" s="33" t="s">
        <v>562</v>
      </c>
      <c r="AE21" s="33" t="s">
        <v>568</v>
      </c>
      <c r="AF21" s="33">
        <v>47.5</v>
      </c>
      <c r="AG21" s="33" t="s">
        <v>106</v>
      </c>
      <c r="AH21" s="33">
        <v>3.5</v>
      </c>
      <c r="AI21" s="33">
        <v>1</v>
      </c>
      <c r="AJ21" s="33">
        <v>4.5</v>
      </c>
      <c r="AK21" s="33" t="s">
        <v>114</v>
      </c>
      <c r="AL21" s="61"/>
    </row>
    <row r="22" spans="1:38">
      <c r="A22" s="29">
        <f t="shared" si="0"/>
        <v>8</v>
      </c>
      <c r="B22" s="33" t="s">
        <v>71</v>
      </c>
      <c r="C22" s="33">
        <v>63</v>
      </c>
      <c r="D22" s="33" t="s">
        <v>565</v>
      </c>
      <c r="E22" s="33" t="s">
        <v>569</v>
      </c>
      <c r="F22" s="33">
        <v>34</v>
      </c>
      <c r="G22" s="33" t="s">
        <v>285</v>
      </c>
      <c r="H22" s="33">
        <v>3.3</v>
      </c>
      <c r="I22" s="33">
        <v>1</v>
      </c>
      <c r="J22" s="33">
        <v>4.3</v>
      </c>
      <c r="K22" s="33" t="s">
        <v>114</v>
      </c>
      <c r="L22" s="61"/>
      <c r="N22" s="29">
        <f t="shared" si="1"/>
        <v>8</v>
      </c>
      <c r="O22" s="29" t="s">
        <v>71</v>
      </c>
      <c r="P22" s="29">
        <v>75</v>
      </c>
      <c r="Q22" s="29" t="s">
        <v>560</v>
      </c>
      <c r="R22" s="29" t="s">
        <v>570</v>
      </c>
      <c r="S22" s="29">
        <v>12.6</v>
      </c>
      <c r="T22" s="33" t="s">
        <v>106</v>
      </c>
      <c r="U22" s="33">
        <v>3.5</v>
      </c>
      <c r="V22" s="33">
        <v>1</v>
      </c>
      <c r="W22" s="33">
        <v>4.5</v>
      </c>
      <c r="X22" s="33" t="s">
        <v>114</v>
      </c>
      <c r="Y22" s="61"/>
      <c r="AA22" s="29">
        <f t="shared" si="2"/>
        <v>8</v>
      </c>
      <c r="AB22" s="29" t="s">
        <v>71</v>
      </c>
      <c r="AC22" s="29">
        <v>110</v>
      </c>
      <c r="AD22" s="33" t="s">
        <v>568</v>
      </c>
      <c r="AE22" s="33" t="s">
        <v>571</v>
      </c>
      <c r="AF22" s="33">
        <v>40</v>
      </c>
      <c r="AG22" s="33" t="s">
        <v>106</v>
      </c>
      <c r="AH22" s="33">
        <v>3.5</v>
      </c>
      <c r="AI22" s="33">
        <v>1</v>
      </c>
      <c r="AJ22" s="33">
        <v>4.5</v>
      </c>
      <c r="AK22" s="33" t="s">
        <v>114</v>
      </c>
      <c r="AL22" s="61"/>
    </row>
    <row r="23" spans="1:38">
      <c r="A23" s="29">
        <f t="shared" si="0"/>
        <v>9</v>
      </c>
      <c r="B23" s="33" t="s">
        <v>71</v>
      </c>
      <c r="C23" s="33">
        <v>75</v>
      </c>
      <c r="D23" s="33" t="s">
        <v>565</v>
      </c>
      <c r="E23" s="33" t="s">
        <v>572</v>
      </c>
      <c r="F23" s="33">
        <v>102.4</v>
      </c>
      <c r="G23" s="33" t="s">
        <v>285</v>
      </c>
      <c r="H23" s="33">
        <v>3.3</v>
      </c>
      <c r="I23" s="33">
        <v>1</v>
      </c>
      <c r="J23" s="33">
        <v>4.3</v>
      </c>
      <c r="K23" s="33" t="s">
        <v>114</v>
      </c>
      <c r="L23" s="61"/>
      <c r="N23" s="29">
        <f t="shared" si="1"/>
        <v>9</v>
      </c>
      <c r="O23" s="29" t="s">
        <v>71</v>
      </c>
      <c r="P23" s="29">
        <v>63</v>
      </c>
      <c r="Q23" s="29" t="s">
        <v>570</v>
      </c>
      <c r="R23" s="29" t="s">
        <v>573</v>
      </c>
      <c r="S23" s="29">
        <v>56</v>
      </c>
      <c r="T23" s="33" t="s">
        <v>106</v>
      </c>
      <c r="U23" s="33">
        <v>3.5</v>
      </c>
      <c r="V23" s="33">
        <v>1</v>
      </c>
      <c r="W23" s="33">
        <v>4.5</v>
      </c>
      <c r="X23" s="33" t="s">
        <v>114</v>
      </c>
      <c r="Y23" s="61"/>
      <c r="AA23" s="324"/>
      <c r="AB23" s="324"/>
      <c r="AC23" s="325" t="s">
        <v>86</v>
      </c>
      <c r="AD23" s="325"/>
      <c r="AE23" s="325"/>
      <c r="AF23" s="325"/>
      <c r="AG23" s="325" t="s">
        <v>87</v>
      </c>
      <c r="AH23" s="325"/>
      <c r="AI23" s="325"/>
      <c r="AJ23" s="325" t="s">
        <v>39</v>
      </c>
      <c r="AK23" s="325"/>
      <c r="AL23" s="325"/>
    </row>
    <row r="24" spans="1:38">
      <c r="A24" s="29">
        <f t="shared" si="0"/>
        <v>10</v>
      </c>
      <c r="B24" s="33" t="s">
        <v>71</v>
      </c>
      <c r="C24" s="33">
        <v>63</v>
      </c>
      <c r="D24" s="33" t="s">
        <v>572</v>
      </c>
      <c r="E24" s="33" t="s">
        <v>434</v>
      </c>
      <c r="F24" s="33">
        <v>21.7</v>
      </c>
      <c r="G24" s="33" t="s">
        <v>285</v>
      </c>
      <c r="H24" s="33">
        <v>3.3</v>
      </c>
      <c r="I24" s="33">
        <v>1</v>
      </c>
      <c r="J24" s="33">
        <v>4.3</v>
      </c>
      <c r="K24" s="33" t="s">
        <v>114</v>
      </c>
      <c r="L24" s="61"/>
      <c r="N24" s="29">
        <f t="shared" si="1"/>
        <v>10</v>
      </c>
      <c r="O24" s="29" t="s">
        <v>71</v>
      </c>
      <c r="P24" s="29">
        <v>75</v>
      </c>
      <c r="Q24" s="29" t="s">
        <v>570</v>
      </c>
      <c r="R24" s="29" t="s">
        <v>574</v>
      </c>
      <c r="S24" s="29">
        <v>77.599999999999994</v>
      </c>
      <c r="T24" s="33" t="s">
        <v>106</v>
      </c>
      <c r="U24" s="33">
        <v>3.5</v>
      </c>
      <c r="V24" s="33">
        <v>1</v>
      </c>
      <c r="W24" s="33">
        <v>4.5</v>
      </c>
      <c r="X24" s="33" t="s">
        <v>114</v>
      </c>
      <c r="Y24" s="61"/>
      <c r="AA24" s="295" t="s">
        <v>40</v>
      </c>
      <c r="AB24" s="295"/>
      <c r="AC24" s="317" t="s">
        <v>540</v>
      </c>
      <c r="AD24" s="317"/>
      <c r="AE24" s="317"/>
      <c r="AF24" s="317"/>
      <c r="AG24" s="317"/>
      <c r="AH24" s="317"/>
      <c r="AI24" s="317"/>
      <c r="AJ24" s="317"/>
      <c r="AK24" s="317"/>
      <c r="AL24" s="317"/>
    </row>
    <row r="25" spans="1:38">
      <c r="A25" s="29">
        <f t="shared" si="0"/>
        <v>11</v>
      </c>
      <c r="B25" s="33" t="s">
        <v>71</v>
      </c>
      <c r="C25" s="33">
        <v>75</v>
      </c>
      <c r="D25" s="33" t="s">
        <v>572</v>
      </c>
      <c r="E25" s="33" t="s">
        <v>575</v>
      </c>
      <c r="F25" s="33">
        <v>748.6</v>
      </c>
      <c r="G25" s="33" t="s">
        <v>285</v>
      </c>
      <c r="H25" s="33">
        <v>3.3</v>
      </c>
      <c r="I25" s="33">
        <v>1</v>
      </c>
      <c r="J25" s="33">
        <v>4.3</v>
      </c>
      <c r="K25" s="33" t="s">
        <v>114</v>
      </c>
      <c r="L25" s="61"/>
      <c r="N25" s="29">
        <f t="shared" si="1"/>
        <v>11</v>
      </c>
      <c r="O25" s="29" t="s">
        <v>71</v>
      </c>
      <c r="P25" s="29">
        <v>75</v>
      </c>
      <c r="Q25" s="29" t="s">
        <v>574</v>
      </c>
      <c r="R25" s="29" t="s">
        <v>576</v>
      </c>
      <c r="S25" s="29">
        <v>53.8</v>
      </c>
      <c r="T25" s="33" t="s">
        <v>106</v>
      </c>
      <c r="U25" s="33">
        <v>3.5</v>
      </c>
      <c r="V25" s="33">
        <v>1</v>
      </c>
      <c r="W25" s="33">
        <v>4.5</v>
      </c>
      <c r="X25" s="33" t="s">
        <v>114</v>
      </c>
      <c r="Y25" s="61"/>
      <c r="AA25" s="295" t="s">
        <v>41</v>
      </c>
      <c r="AB25" s="295"/>
      <c r="AC25" s="317" t="s">
        <v>541</v>
      </c>
      <c r="AD25" s="317"/>
      <c r="AE25" s="317"/>
      <c r="AF25" s="317"/>
      <c r="AG25" s="317"/>
      <c r="AH25" s="317"/>
      <c r="AI25" s="317"/>
      <c r="AJ25" s="317"/>
      <c r="AK25" s="317"/>
      <c r="AL25" s="317"/>
    </row>
    <row r="26" spans="1:38">
      <c r="A26" s="29">
        <f t="shared" si="0"/>
        <v>12</v>
      </c>
      <c r="B26" s="33" t="s">
        <v>71</v>
      </c>
      <c r="C26" s="33">
        <v>160</v>
      </c>
      <c r="D26" s="33" t="s">
        <v>577</v>
      </c>
      <c r="E26" s="33" t="s">
        <v>543</v>
      </c>
      <c r="F26" s="33">
        <v>185.5</v>
      </c>
      <c r="G26" s="33" t="s">
        <v>285</v>
      </c>
      <c r="H26" s="33">
        <v>3.3</v>
      </c>
      <c r="I26" s="33">
        <v>1</v>
      </c>
      <c r="J26" s="33">
        <v>4.3</v>
      </c>
      <c r="K26" s="33" t="s">
        <v>114</v>
      </c>
      <c r="L26" s="61"/>
      <c r="N26" s="29">
        <f t="shared" si="1"/>
        <v>12</v>
      </c>
      <c r="O26" s="29" t="s">
        <v>71</v>
      </c>
      <c r="P26" s="29">
        <v>75</v>
      </c>
      <c r="Q26" s="29" t="s">
        <v>574</v>
      </c>
      <c r="R26" s="29" t="s">
        <v>578</v>
      </c>
      <c r="S26" s="29">
        <v>41.2</v>
      </c>
      <c r="T26" s="33" t="s">
        <v>106</v>
      </c>
      <c r="U26" s="33">
        <v>3.5</v>
      </c>
      <c r="V26" s="33">
        <v>1</v>
      </c>
      <c r="W26" s="33">
        <v>4.5</v>
      </c>
      <c r="X26" s="33" t="s">
        <v>114</v>
      </c>
      <c r="Y26" s="61"/>
      <c r="AA26" s="295" t="s">
        <v>42</v>
      </c>
      <c r="AB26" s="295"/>
      <c r="AC26" s="317"/>
      <c r="AD26" s="317"/>
      <c r="AE26" s="317"/>
      <c r="AF26" s="317"/>
      <c r="AG26" s="317"/>
      <c r="AH26" s="317"/>
      <c r="AI26" s="317"/>
      <c r="AJ26" s="317"/>
      <c r="AK26" s="317"/>
      <c r="AL26" s="317"/>
    </row>
    <row r="27" spans="1:38">
      <c r="A27" s="29">
        <f t="shared" si="0"/>
        <v>13</v>
      </c>
      <c r="B27" s="33" t="s">
        <v>71</v>
      </c>
      <c r="C27" s="33">
        <v>110</v>
      </c>
      <c r="D27" s="33" t="s">
        <v>543</v>
      </c>
      <c r="E27" s="33" t="s">
        <v>579</v>
      </c>
      <c r="F27" s="33">
        <v>96</v>
      </c>
      <c r="G27" s="33" t="s">
        <v>285</v>
      </c>
      <c r="H27" s="33">
        <v>3.3</v>
      </c>
      <c r="I27" s="33">
        <v>1</v>
      </c>
      <c r="J27" s="33">
        <v>4.3</v>
      </c>
      <c r="K27" s="33" t="s">
        <v>114</v>
      </c>
      <c r="L27" s="61"/>
      <c r="N27" s="29">
        <f t="shared" si="1"/>
        <v>13</v>
      </c>
      <c r="O27" s="29" t="s">
        <v>71</v>
      </c>
      <c r="P27" s="29">
        <v>75</v>
      </c>
      <c r="Q27" s="29" t="s">
        <v>578</v>
      </c>
      <c r="R27" s="29" t="s">
        <v>580</v>
      </c>
      <c r="S27" s="29">
        <v>7.4</v>
      </c>
      <c r="T27" s="33" t="s">
        <v>106</v>
      </c>
      <c r="U27" s="33">
        <v>3.5</v>
      </c>
      <c r="V27" s="33">
        <v>1</v>
      </c>
      <c r="W27" s="33">
        <v>4.5</v>
      </c>
      <c r="X27" s="33" t="s">
        <v>114</v>
      </c>
      <c r="Y27" s="61"/>
      <c r="AA27" s="295" t="s">
        <v>43</v>
      </c>
      <c r="AB27" s="295"/>
      <c r="AC27" s="315"/>
      <c r="AD27" s="316"/>
      <c r="AE27" s="316"/>
      <c r="AF27" s="316"/>
      <c r="AG27" s="317"/>
      <c r="AH27" s="317"/>
      <c r="AI27" s="317"/>
      <c r="AJ27" s="317"/>
      <c r="AK27" s="317"/>
      <c r="AL27" s="317"/>
    </row>
    <row r="28" spans="1:38">
      <c r="A28" s="29">
        <f t="shared" si="0"/>
        <v>14</v>
      </c>
      <c r="B28" s="33" t="s">
        <v>71</v>
      </c>
      <c r="C28" s="33">
        <v>75</v>
      </c>
      <c r="D28" s="33" t="s">
        <v>581</v>
      </c>
      <c r="E28" s="33" t="s">
        <v>582</v>
      </c>
      <c r="F28" s="33">
        <v>96</v>
      </c>
      <c r="G28" s="33" t="s">
        <v>285</v>
      </c>
      <c r="H28" s="33">
        <v>3.3</v>
      </c>
      <c r="I28" s="33">
        <v>1</v>
      </c>
      <c r="J28" s="33">
        <v>4.3</v>
      </c>
      <c r="K28" s="33" t="s">
        <v>114</v>
      </c>
      <c r="L28" s="61"/>
      <c r="N28" s="29">
        <f t="shared" si="1"/>
        <v>14</v>
      </c>
      <c r="O28" s="29" t="s">
        <v>71</v>
      </c>
      <c r="P28" s="29">
        <v>63</v>
      </c>
      <c r="Q28" s="29" t="s">
        <v>580</v>
      </c>
      <c r="R28" s="29" t="s">
        <v>583</v>
      </c>
      <c r="S28" s="29">
        <v>32.299999999999997</v>
      </c>
      <c r="T28" s="33" t="s">
        <v>106</v>
      </c>
      <c r="U28" s="33">
        <v>3.5</v>
      </c>
      <c r="V28" s="33">
        <v>1</v>
      </c>
      <c r="W28" s="33">
        <v>4.5</v>
      </c>
      <c r="X28" s="33" t="s">
        <v>114</v>
      </c>
      <c r="Y28" s="61"/>
      <c r="AA28" s="46"/>
      <c r="AB28" s="46"/>
    </row>
    <row r="29" spans="1:38">
      <c r="A29" s="29">
        <f t="shared" si="0"/>
        <v>15</v>
      </c>
      <c r="B29" s="33" t="s">
        <v>71</v>
      </c>
      <c r="C29" s="33">
        <v>110</v>
      </c>
      <c r="D29" s="33" t="s">
        <v>579</v>
      </c>
      <c r="E29" s="33" t="s">
        <v>584</v>
      </c>
      <c r="F29" s="33">
        <v>52</v>
      </c>
      <c r="G29" s="33" t="s">
        <v>285</v>
      </c>
      <c r="H29" s="33">
        <v>3.3</v>
      </c>
      <c r="I29" s="33">
        <v>1</v>
      </c>
      <c r="J29" s="33">
        <v>4.3</v>
      </c>
      <c r="K29" s="33" t="s">
        <v>114</v>
      </c>
      <c r="L29" s="61"/>
      <c r="N29" s="29">
        <f t="shared" si="1"/>
        <v>15</v>
      </c>
      <c r="O29" s="29" t="s">
        <v>71</v>
      </c>
      <c r="P29" s="29">
        <v>75</v>
      </c>
      <c r="Q29" s="29" t="s">
        <v>580</v>
      </c>
      <c r="R29" s="29" t="s">
        <v>585</v>
      </c>
      <c r="S29" s="29">
        <v>113.5</v>
      </c>
      <c r="T29" s="33" t="s">
        <v>106</v>
      </c>
      <c r="U29" s="33">
        <v>3.5</v>
      </c>
      <c r="V29" s="33">
        <v>1</v>
      </c>
      <c r="W29" s="33">
        <v>4.5</v>
      </c>
      <c r="X29" s="33" t="s">
        <v>114</v>
      </c>
      <c r="Y29" s="61"/>
      <c r="AA29" s="46"/>
      <c r="AB29" s="46"/>
    </row>
    <row r="30" spans="1:38">
      <c r="A30" s="29">
        <f t="shared" si="0"/>
        <v>16</v>
      </c>
      <c r="B30" s="33" t="s">
        <v>71</v>
      </c>
      <c r="C30" s="33">
        <v>63</v>
      </c>
      <c r="D30" s="33" t="s">
        <v>584</v>
      </c>
      <c r="E30" s="33" t="s">
        <v>586</v>
      </c>
      <c r="F30" s="33">
        <v>96</v>
      </c>
      <c r="G30" s="33" t="s">
        <v>285</v>
      </c>
      <c r="H30" s="33">
        <v>3.3</v>
      </c>
      <c r="I30" s="33">
        <v>1</v>
      </c>
      <c r="J30" s="33">
        <v>4.3</v>
      </c>
      <c r="K30" s="33" t="s">
        <v>114</v>
      </c>
      <c r="L30" s="61"/>
      <c r="N30" s="29">
        <f t="shared" si="1"/>
        <v>16</v>
      </c>
      <c r="O30" s="29" t="s">
        <v>71</v>
      </c>
      <c r="P30" s="29">
        <v>63</v>
      </c>
      <c r="Q30" s="29" t="s">
        <v>585</v>
      </c>
      <c r="R30" s="29" t="s">
        <v>587</v>
      </c>
      <c r="S30" s="29">
        <v>68</v>
      </c>
      <c r="T30" s="33" t="s">
        <v>106</v>
      </c>
      <c r="U30" s="33">
        <v>3.5</v>
      </c>
      <c r="V30" s="33">
        <v>1</v>
      </c>
      <c r="W30" s="33">
        <v>4.5</v>
      </c>
      <c r="X30" s="33" t="s">
        <v>114</v>
      </c>
      <c r="Y30" s="61"/>
      <c r="AA30" s="46"/>
      <c r="AB30" s="46"/>
    </row>
    <row r="31" spans="1:38">
      <c r="A31" s="29">
        <f t="shared" si="0"/>
        <v>17</v>
      </c>
      <c r="B31" s="33" t="s">
        <v>71</v>
      </c>
      <c r="C31" s="33">
        <v>110</v>
      </c>
      <c r="D31" s="33" t="s">
        <v>584</v>
      </c>
      <c r="E31" s="33" t="s">
        <v>588</v>
      </c>
      <c r="F31" s="33">
        <v>58.5</v>
      </c>
      <c r="G31" s="33" t="s">
        <v>285</v>
      </c>
      <c r="H31" s="33">
        <v>3.3</v>
      </c>
      <c r="I31" s="33">
        <v>1</v>
      </c>
      <c r="J31" s="33">
        <v>4.3</v>
      </c>
      <c r="K31" s="33" t="s">
        <v>114</v>
      </c>
      <c r="L31" s="61"/>
      <c r="N31" s="29">
        <f t="shared" si="1"/>
        <v>17</v>
      </c>
      <c r="O31" s="29" t="s">
        <v>71</v>
      </c>
      <c r="P31" s="29">
        <v>140</v>
      </c>
      <c r="Q31" s="29" t="s">
        <v>589</v>
      </c>
      <c r="R31" s="29" t="s">
        <v>557</v>
      </c>
      <c r="S31" s="29">
        <v>238.8</v>
      </c>
      <c r="T31" s="33" t="s">
        <v>106</v>
      </c>
      <c r="U31" s="33">
        <v>3.5</v>
      </c>
      <c r="V31" s="33">
        <v>1</v>
      </c>
      <c r="W31" s="33">
        <v>4.5</v>
      </c>
      <c r="X31" s="33" t="s">
        <v>114</v>
      </c>
      <c r="Y31" s="61"/>
      <c r="AA31" s="46"/>
      <c r="AB31" s="46"/>
    </row>
    <row r="32" spans="1:38">
      <c r="A32" s="29">
        <f t="shared" si="0"/>
        <v>18</v>
      </c>
      <c r="B32" s="33" t="s">
        <v>71</v>
      </c>
      <c r="C32" s="33">
        <v>75</v>
      </c>
      <c r="D32" s="33" t="s">
        <v>588</v>
      </c>
      <c r="E32" s="33" t="s">
        <v>590</v>
      </c>
      <c r="F32" s="33">
        <v>83</v>
      </c>
      <c r="G32" s="33" t="s">
        <v>285</v>
      </c>
      <c r="H32" s="33">
        <v>3.3</v>
      </c>
      <c r="I32" s="33">
        <v>1</v>
      </c>
      <c r="J32" s="33">
        <v>4.3</v>
      </c>
      <c r="K32" s="33" t="s">
        <v>114</v>
      </c>
      <c r="L32" s="61"/>
      <c r="N32" s="29">
        <f t="shared" si="1"/>
        <v>18</v>
      </c>
      <c r="O32" s="29" t="s">
        <v>71</v>
      </c>
      <c r="P32" s="29">
        <v>75</v>
      </c>
      <c r="Q32" s="29" t="s">
        <v>578</v>
      </c>
      <c r="R32" s="29" t="s">
        <v>591</v>
      </c>
      <c r="S32" s="327">
        <v>73.3</v>
      </c>
      <c r="T32" s="33" t="s">
        <v>106</v>
      </c>
      <c r="U32" s="33">
        <v>3.5</v>
      </c>
      <c r="V32" s="33">
        <v>1</v>
      </c>
      <c r="W32" s="33">
        <v>4.5</v>
      </c>
      <c r="X32" s="33" t="s">
        <v>114</v>
      </c>
      <c r="Y32" s="61"/>
      <c r="AA32" s="46"/>
      <c r="AB32" s="46"/>
    </row>
    <row r="33" spans="1:29">
      <c r="A33" s="29">
        <f t="shared" si="0"/>
        <v>19</v>
      </c>
      <c r="B33" s="33" t="s">
        <v>71</v>
      </c>
      <c r="C33" s="33">
        <v>63</v>
      </c>
      <c r="D33" s="33" t="s">
        <v>590</v>
      </c>
      <c r="E33" s="33" t="s">
        <v>592</v>
      </c>
      <c r="F33" s="33">
        <v>78</v>
      </c>
      <c r="G33" s="33" t="s">
        <v>285</v>
      </c>
      <c r="H33" s="33">
        <v>3.3</v>
      </c>
      <c r="I33" s="33">
        <v>1</v>
      </c>
      <c r="J33" s="33">
        <v>4.3</v>
      </c>
      <c r="K33" s="33" t="s">
        <v>114</v>
      </c>
      <c r="L33" s="61"/>
      <c r="N33" s="29">
        <f t="shared" si="1"/>
        <v>19</v>
      </c>
      <c r="O33" s="29" t="s">
        <v>71</v>
      </c>
      <c r="P33" s="29">
        <v>75</v>
      </c>
      <c r="Q33" s="29" t="s">
        <v>591</v>
      </c>
      <c r="R33" s="29" t="s">
        <v>593</v>
      </c>
      <c r="S33" s="327"/>
      <c r="T33" s="33" t="s">
        <v>106</v>
      </c>
      <c r="U33" s="33">
        <v>3.5</v>
      </c>
      <c r="V33" s="33">
        <v>1</v>
      </c>
      <c r="W33" s="33">
        <v>4.5</v>
      </c>
      <c r="X33" s="33" t="s">
        <v>114</v>
      </c>
      <c r="Y33" s="61"/>
      <c r="AA33" s="46"/>
      <c r="AB33" s="46"/>
    </row>
    <row r="34" spans="1:29">
      <c r="A34" s="29">
        <f t="shared" si="0"/>
        <v>20</v>
      </c>
      <c r="B34" s="33" t="s">
        <v>71</v>
      </c>
      <c r="C34" s="33">
        <v>75</v>
      </c>
      <c r="D34" s="33" t="s">
        <v>590</v>
      </c>
      <c r="E34" s="33" t="s">
        <v>594</v>
      </c>
      <c r="F34" s="33">
        <v>90</v>
      </c>
      <c r="G34" s="33" t="s">
        <v>285</v>
      </c>
      <c r="H34" s="33">
        <v>3.3</v>
      </c>
      <c r="I34" s="33">
        <v>1</v>
      </c>
      <c r="J34" s="33">
        <v>4.3</v>
      </c>
      <c r="K34" s="33" t="s">
        <v>114</v>
      </c>
      <c r="L34" s="61"/>
      <c r="N34" s="29">
        <f t="shared" si="1"/>
        <v>20</v>
      </c>
      <c r="O34" s="29" t="s">
        <v>71</v>
      </c>
      <c r="P34" s="29">
        <v>75</v>
      </c>
      <c r="Q34" s="29" t="s">
        <v>593</v>
      </c>
      <c r="R34" s="29" t="s">
        <v>595</v>
      </c>
      <c r="S34" s="327"/>
      <c r="T34" s="33" t="s">
        <v>106</v>
      </c>
      <c r="U34" s="33">
        <v>3.5</v>
      </c>
      <c r="V34" s="33">
        <v>1</v>
      </c>
      <c r="W34" s="33">
        <v>4.5</v>
      </c>
      <c r="X34" s="33" t="s">
        <v>114</v>
      </c>
      <c r="Y34" s="61"/>
      <c r="AA34" s="46"/>
      <c r="AB34" s="46"/>
    </row>
    <row r="35" spans="1:29">
      <c r="A35" s="29">
        <f t="shared" si="0"/>
        <v>21</v>
      </c>
      <c r="B35" s="33" t="s">
        <v>71</v>
      </c>
      <c r="C35" s="33">
        <v>63</v>
      </c>
      <c r="D35" s="33" t="s">
        <v>594</v>
      </c>
      <c r="E35" s="33" t="s">
        <v>596</v>
      </c>
      <c r="F35" s="33">
        <v>53</v>
      </c>
      <c r="G35" s="33" t="s">
        <v>285</v>
      </c>
      <c r="H35" s="33">
        <v>3.3</v>
      </c>
      <c r="I35" s="33">
        <v>1</v>
      </c>
      <c r="J35" s="33">
        <v>4.3</v>
      </c>
      <c r="K35" s="33" t="s">
        <v>114</v>
      </c>
      <c r="L35" s="61"/>
      <c r="N35" s="29">
        <f t="shared" si="1"/>
        <v>21</v>
      </c>
      <c r="O35" s="29" t="s">
        <v>71</v>
      </c>
      <c r="P35" s="29">
        <v>63</v>
      </c>
      <c r="Q35" s="29" t="s">
        <v>597</v>
      </c>
      <c r="R35" s="29" t="s">
        <v>598</v>
      </c>
      <c r="S35" s="29">
        <v>65</v>
      </c>
      <c r="T35" s="33" t="s">
        <v>106</v>
      </c>
      <c r="U35" s="33">
        <v>3.5</v>
      </c>
      <c r="V35" s="33">
        <v>1</v>
      </c>
      <c r="W35" s="33">
        <v>4.5</v>
      </c>
      <c r="X35" s="33" t="s">
        <v>114</v>
      </c>
      <c r="Y35" s="61"/>
      <c r="AA35" s="46"/>
      <c r="AB35" s="46"/>
    </row>
    <row r="36" spans="1:29">
      <c r="A36" s="29">
        <f t="shared" si="0"/>
        <v>22</v>
      </c>
      <c r="B36" s="33" t="s">
        <v>71</v>
      </c>
      <c r="C36" s="33">
        <v>75</v>
      </c>
      <c r="D36" s="33" t="s">
        <v>594</v>
      </c>
      <c r="E36" s="33" t="s">
        <v>599</v>
      </c>
      <c r="F36" s="33">
        <v>77</v>
      </c>
      <c r="G36" s="33" t="s">
        <v>285</v>
      </c>
      <c r="H36" s="33">
        <v>3.3</v>
      </c>
      <c r="I36" s="33">
        <v>1</v>
      </c>
      <c r="J36" s="33">
        <v>4.3</v>
      </c>
      <c r="K36" s="33" t="s">
        <v>114</v>
      </c>
      <c r="L36" s="61"/>
      <c r="N36" s="29">
        <f t="shared" si="1"/>
        <v>22</v>
      </c>
      <c r="O36" s="29" t="s">
        <v>71</v>
      </c>
      <c r="P36" s="29">
        <v>75</v>
      </c>
      <c r="Q36" s="29" t="s">
        <v>595</v>
      </c>
      <c r="R36" s="29" t="s">
        <v>600</v>
      </c>
      <c r="S36" s="29">
        <v>29</v>
      </c>
      <c r="T36" s="33" t="s">
        <v>106</v>
      </c>
      <c r="U36" s="33">
        <v>3.5</v>
      </c>
      <c r="V36" s="33">
        <v>1</v>
      </c>
      <c r="W36" s="33">
        <v>4.5</v>
      </c>
      <c r="X36" s="33" t="s">
        <v>114</v>
      </c>
      <c r="Y36" s="61"/>
      <c r="AA36" s="46"/>
      <c r="AB36" s="46"/>
    </row>
    <row r="37" spans="1:29">
      <c r="A37" s="29">
        <f t="shared" si="0"/>
        <v>23</v>
      </c>
      <c r="B37" s="33" t="s">
        <v>71</v>
      </c>
      <c r="C37" s="33">
        <v>75</v>
      </c>
      <c r="D37" s="33" t="s">
        <v>599</v>
      </c>
      <c r="E37" s="33" t="s">
        <v>582</v>
      </c>
      <c r="F37" s="33">
        <v>35</v>
      </c>
      <c r="G37" s="33" t="s">
        <v>285</v>
      </c>
      <c r="H37" s="33">
        <v>3.3</v>
      </c>
      <c r="I37" s="33">
        <v>1</v>
      </c>
      <c r="J37" s="33">
        <v>4.3</v>
      </c>
      <c r="K37" s="33" t="s">
        <v>114</v>
      </c>
      <c r="L37" s="61"/>
      <c r="N37" s="29">
        <f t="shared" si="1"/>
        <v>23</v>
      </c>
      <c r="O37" s="29" t="s">
        <v>71</v>
      </c>
      <c r="P37" s="29">
        <v>63</v>
      </c>
      <c r="Q37" s="29" t="s">
        <v>600</v>
      </c>
      <c r="R37" s="29" t="s">
        <v>601</v>
      </c>
      <c r="S37" s="29">
        <v>62</v>
      </c>
      <c r="T37" s="33" t="s">
        <v>106</v>
      </c>
      <c r="U37" s="33">
        <v>3.5</v>
      </c>
      <c r="V37" s="33">
        <v>1</v>
      </c>
      <c r="W37" s="33">
        <v>4.5</v>
      </c>
      <c r="X37" s="33" t="s">
        <v>114</v>
      </c>
      <c r="Y37" s="61"/>
      <c r="AA37" s="46"/>
      <c r="AB37" s="46"/>
    </row>
    <row r="38" spans="1:29">
      <c r="A38" s="29">
        <f t="shared" si="0"/>
        <v>24</v>
      </c>
      <c r="B38" s="33" t="s">
        <v>71</v>
      </c>
      <c r="C38" s="33">
        <v>63</v>
      </c>
      <c r="D38" s="33" t="s">
        <v>599</v>
      </c>
      <c r="E38" s="33" t="s">
        <v>602</v>
      </c>
      <c r="F38" s="33">
        <v>88.3</v>
      </c>
      <c r="G38" s="33" t="s">
        <v>285</v>
      </c>
      <c r="H38" s="33">
        <v>3.3</v>
      </c>
      <c r="I38" s="33">
        <v>1</v>
      </c>
      <c r="J38" s="33">
        <v>4.3</v>
      </c>
      <c r="K38" s="33" t="s">
        <v>114</v>
      </c>
      <c r="L38" s="61"/>
      <c r="N38" s="29">
        <f t="shared" si="1"/>
        <v>24</v>
      </c>
      <c r="O38" s="29" t="s">
        <v>71</v>
      </c>
      <c r="P38" s="29">
        <v>75</v>
      </c>
      <c r="Q38" s="29" t="s">
        <v>600</v>
      </c>
      <c r="R38" s="29" t="s">
        <v>603</v>
      </c>
      <c r="S38" s="29">
        <v>45.5</v>
      </c>
      <c r="T38" s="33" t="s">
        <v>106</v>
      </c>
      <c r="U38" s="33">
        <v>3.5</v>
      </c>
      <c r="V38" s="33">
        <v>1</v>
      </c>
      <c r="W38" s="33">
        <v>4.5</v>
      </c>
      <c r="X38" s="33" t="s">
        <v>114</v>
      </c>
      <c r="Y38" s="61"/>
    </row>
    <row r="39" spans="1:29">
      <c r="A39" s="29">
        <f t="shared" si="0"/>
        <v>25</v>
      </c>
      <c r="B39" s="33" t="s">
        <v>71</v>
      </c>
      <c r="C39" s="33">
        <v>63</v>
      </c>
      <c r="D39" s="33" t="s">
        <v>602</v>
      </c>
      <c r="E39" s="33" t="s">
        <v>604</v>
      </c>
      <c r="F39" s="33">
        <v>45.5</v>
      </c>
      <c r="G39" s="33" t="s">
        <v>285</v>
      </c>
      <c r="H39" s="33">
        <v>3.3</v>
      </c>
      <c r="I39" s="33">
        <v>1</v>
      </c>
      <c r="J39" s="33">
        <v>4.3</v>
      </c>
      <c r="K39" s="33" t="s">
        <v>114</v>
      </c>
      <c r="L39" s="61"/>
      <c r="N39" s="29">
        <f t="shared" si="1"/>
        <v>25</v>
      </c>
      <c r="O39" s="29" t="s">
        <v>71</v>
      </c>
      <c r="P39" s="29">
        <v>63</v>
      </c>
      <c r="Q39" s="29" t="s">
        <v>603</v>
      </c>
      <c r="R39" s="29" t="s">
        <v>605</v>
      </c>
      <c r="S39" s="29">
        <v>36.5</v>
      </c>
      <c r="T39" s="33" t="s">
        <v>106</v>
      </c>
      <c r="U39" s="33">
        <v>3.5</v>
      </c>
      <c r="V39" s="33">
        <v>1</v>
      </c>
      <c r="W39" s="33">
        <v>4.5</v>
      </c>
      <c r="X39" s="33" t="s">
        <v>114</v>
      </c>
      <c r="Y39" s="61"/>
    </row>
    <row r="40" spans="1:29">
      <c r="A40" s="29">
        <f t="shared" si="0"/>
        <v>26</v>
      </c>
      <c r="B40" s="33" t="s">
        <v>71</v>
      </c>
      <c r="C40" s="29">
        <v>63</v>
      </c>
      <c r="D40" s="29" t="s">
        <v>606</v>
      </c>
      <c r="E40" s="29" t="s">
        <v>607</v>
      </c>
      <c r="F40" s="33">
        <v>60</v>
      </c>
      <c r="G40" s="33" t="s">
        <v>285</v>
      </c>
      <c r="H40" s="33">
        <v>3.3</v>
      </c>
      <c r="I40" s="33">
        <v>1</v>
      </c>
      <c r="J40" s="33">
        <v>4.3</v>
      </c>
      <c r="K40" s="33" t="s">
        <v>114</v>
      </c>
      <c r="L40" s="61"/>
      <c r="N40" s="29">
        <f t="shared" si="1"/>
        <v>26</v>
      </c>
      <c r="O40" s="29" t="s">
        <v>71</v>
      </c>
      <c r="P40" s="29">
        <v>63</v>
      </c>
      <c r="Q40" s="29" t="s">
        <v>603</v>
      </c>
      <c r="R40" s="29" t="s">
        <v>608</v>
      </c>
      <c r="S40" s="29">
        <v>50</v>
      </c>
      <c r="T40" s="33" t="s">
        <v>106</v>
      </c>
      <c r="U40" s="33">
        <v>3.5</v>
      </c>
      <c r="V40" s="33">
        <v>1</v>
      </c>
      <c r="W40" s="33">
        <v>4.5</v>
      </c>
      <c r="X40" s="33" t="s">
        <v>114</v>
      </c>
      <c r="Y40" s="61"/>
    </row>
    <row r="41" spans="1:29">
      <c r="A41" s="29">
        <f t="shared" si="0"/>
        <v>27</v>
      </c>
      <c r="B41" s="33" t="s">
        <v>71</v>
      </c>
      <c r="C41" s="29">
        <v>110</v>
      </c>
      <c r="D41" s="33" t="s">
        <v>588</v>
      </c>
      <c r="E41" s="33" t="s">
        <v>609</v>
      </c>
      <c r="F41" s="33">
        <v>80</v>
      </c>
      <c r="G41" s="33" t="s">
        <v>285</v>
      </c>
      <c r="H41" s="33">
        <v>3.3</v>
      </c>
      <c r="I41" s="33">
        <v>1</v>
      </c>
      <c r="J41" s="33">
        <v>4.3</v>
      </c>
      <c r="K41" s="33" t="s">
        <v>114</v>
      </c>
      <c r="L41" s="61"/>
      <c r="N41" s="29">
        <f t="shared" si="1"/>
        <v>27</v>
      </c>
      <c r="O41" s="29" t="s">
        <v>71</v>
      </c>
      <c r="P41" s="29">
        <v>160</v>
      </c>
      <c r="Q41" s="29" t="s">
        <v>92</v>
      </c>
      <c r="R41" s="29">
        <v>659</v>
      </c>
      <c r="S41" s="29">
        <v>649.4</v>
      </c>
      <c r="T41" s="33" t="s">
        <v>106</v>
      </c>
      <c r="U41" s="33">
        <v>3.5</v>
      </c>
      <c r="V41" s="33">
        <v>1</v>
      </c>
      <c r="W41" s="33">
        <v>4.5</v>
      </c>
      <c r="X41" s="33" t="s">
        <v>114</v>
      </c>
      <c r="Y41" s="61"/>
      <c r="AC41">
        <v>5796</v>
      </c>
    </row>
    <row r="42" spans="1:29">
      <c r="A42" s="29">
        <f t="shared" si="0"/>
        <v>28</v>
      </c>
      <c r="B42" s="33" t="s">
        <v>71</v>
      </c>
      <c r="C42" s="29">
        <v>63</v>
      </c>
      <c r="D42" s="33" t="s">
        <v>609</v>
      </c>
      <c r="E42" s="33" t="s">
        <v>610</v>
      </c>
      <c r="F42" s="33">
        <v>64.3</v>
      </c>
      <c r="G42" s="33" t="s">
        <v>285</v>
      </c>
      <c r="H42" s="33">
        <v>3.3</v>
      </c>
      <c r="I42" s="33">
        <v>1</v>
      </c>
      <c r="J42" s="33">
        <v>4.3</v>
      </c>
      <c r="K42" s="33" t="s">
        <v>114</v>
      </c>
      <c r="L42" s="61"/>
      <c r="N42" s="29">
        <f t="shared" si="1"/>
        <v>28</v>
      </c>
      <c r="O42" s="29" t="s">
        <v>71</v>
      </c>
      <c r="P42" s="29">
        <v>160</v>
      </c>
      <c r="Q42" s="29" t="s">
        <v>611</v>
      </c>
      <c r="R42" s="29" t="s">
        <v>93</v>
      </c>
      <c r="S42" s="29">
        <v>175.3</v>
      </c>
      <c r="T42" s="33" t="s">
        <v>106</v>
      </c>
      <c r="U42" s="33">
        <v>3.5</v>
      </c>
      <c r="V42" s="33">
        <v>1</v>
      </c>
      <c r="W42" s="33">
        <v>4.5</v>
      </c>
      <c r="X42" s="33" t="s">
        <v>114</v>
      </c>
      <c r="Y42" s="61"/>
      <c r="AC42">
        <v>4927.5</v>
      </c>
    </row>
    <row r="43" spans="1:29">
      <c r="A43" s="29">
        <f t="shared" si="0"/>
        <v>29</v>
      </c>
      <c r="B43" s="33" t="s">
        <v>71</v>
      </c>
      <c r="C43" s="29">
        <v>110</v>
      </c>
      <c r="D43" s="33" t="s">
        <v>609</v>
      </c>
      <c r="E43" s="33" t="s">
        <v>612</v>
      </c>
      <c r="F43" s="33">
        <v>37.5</v>
      </c>
      <c r="G43" s="33" t="s">
        <v>285</v>
      </c>
      <c r="H43" s="33">
        <v>3.3</v>
      </c>
      <c r="I43" s="33">
        <v>1</v>
      </c>
      <c r="J43" s="33">
        <v>4.3</v>
      </c>
      <c r="K43" s="33" t="s">
        <v>114</v>
      </c>
      <c r="L43" s="61"/>
      <c r="N43" s="29">
        <f t="shared" si="1"/>
        <v>29</v>
      </c>
      <c r="O43" s="29" t="s">
        <v>71</v>
      </c>
      <c r="P43" s="29">
        <v>160</v>
      </c>
      <c r="Q43" s="29" t="s">
        <v>92</v>
      </c>
      <c r="R43" s="29" t="s">
        <v>613</v>
      </c>
      <c r="S43" s="29">
        <v>97</v>
      </c>
      <c r="T43" s="33" t="s">
        <v>106</v>
      </c>
      <c r="U43" s="33">
        <v>3.5</v>
      </c>
      <c r="V43" s="33">
        <v>1</v>
      </c>
      <c r="W43" s="33">
        <v>4.5</v>
      </c>
      <c r="X43" s="33" t="s">
        <v>114</v>
      </c>
      <c r="Y43" s="61"/>
      <c r="AC43">
        <v>653.4</v>
      </c>
    </row>
    <row r="44" spans="1:29">
      <c r="A44" s="29">
        <f t="shared" si="0"/>
        <v>30</v>
      </c>
      <c r="B44" s="33" t="s">
        <v>71</v>
      </c>
      <c r="C44" s="29">
        <v>63</v>
      </c>
      <c r="D44" s="33" t="s">
        <v>612</v>
      </c>
      <c r="E44" s="33" t="s">
        <v>614</v>
      </c>
      <c r="F44" s="33">
        <v>63.9</v>
      </c>
      <c r="G44" s="33" t="s">
        <v>285</v>
      </c>
      <c r="H44" s="33">
        <v>3.3</v>
      </c>
      <c r="I44" s="33">
        <v>1</v>
      </c>
      <c r="J44" s="33">
        <v>4.3</v>
      </c>
      <c r="K44" s="33" t="s">
        <v>114</v>
      </c>
      <c r="L44" s="61"/>
      <c r="N44" s="29">
        <f t="shared" si="1"/>
        <v>30</v>
      </c>
      <c r="O44" s="29" t="s">
        <v>71</v>
      </c>
      <c r="P44" s="29">
        <v>63</v>
      </c>
      <c r="Q44" s="29" t="s">
        <v>613</v>
      </c>
      <c r="R44" s="29" t="s">
        <v>615</v>
      </c>
      <c r="S44" s="29">
        <v>90</v>
      </c>
      <c r="T44" s="33" t="s">
        <v>106</v>
      </c>
      <c r="U44" s="33">
        <v>3.5</v>
      </c>
      <c r="V44" s="33">
        <v>1</v>
      </c>
      <c r="W44" s="33">
        <v>4.5</v>
      </c>
      <c r="X44" s="33" t="s">
        <v>114</v>
      </c>
      <c r="Y44" s="61"/>
    </row>
    <row r="45" spans="1:29">
      <c r="A45" s="29">
        <f t="shared" si="0"/>
        <v>31</v>
      </c>
      <c r="B45" s="33" t="s">
        <v>71</v>
      </c>
      <c r="C45" s="29">
        <v>110</v>
      </c>
      <c r="D45" s="33" t="s">
        <v>612</v>
      </c>
      <c r="E45" s="33" t="s">
        <v>616</v>
      </c>
      <c r="F45" s="33">
        <v>27</v>
      </c>
      <c r="G45" s="33" t="s">
        <v>285</v>
      </c>
      <c r="H45" s="33">
        <v>3.3</v>
      </c>
      <c r="I45" s="33">
        <v>1</v>
      </c>
      <c r="J45" s="33">
        <v>4.3</v>
      </c>
      <c r="K45" s="33" t="s">
        <v>114</v>
      </c>
      <c r="L45" s="61"/>
      <c r="N45" s="29">
        <f t="shared" si="1"/>
        <v>31</v>
      </c>
      <c r="O45" s="29" t="s">
        <v>71</v>
      </c>
      <c r="P45" s="29">
        <v>160</v>
      </c>
      <c r="Q45" s="29" t="s">
        <v>613</v>
      </c>
      <c r="R45" s="29" t="s">
        <v>617</v>
      </c>
      <c r="S45" s="29">
        <v>183</v>
      </c>
      <c r="T45" s="33" t="s">
        <v>106</v>
      </c>
      <c r="U45" s="33">
        <v>3.5</v>
      </c>
      <c r="V45" s="33">
        <v>1</v>
      </c>
      <c r="W45" s="33">
        <v>4.5</v>
      </c>
      <c r="X45" s="33" t="s">
        <v>114</v>
      </c>
      <c r="Y45" s="61"/>
    </row>
    <row r="46" spans="1:29">
      <c r="A46" s="29">
        <f t="shared" si="0"/>
        <v>32</v>
      </c>
      <c r="B46" s="33" t="s">
        <v>71</v>
      </c>
      <c r="C46" s="29">
        <v>63</v>
      </c>
      <c r="D46" s="33" t="s">
        <v>616</v>
      </c>
      <c r="E46" s="33" t="s">
        <v>618</v>
      </c>
      <c r="F46" s="33">
        <v>32</v>
      </c>
      <c r="G46" s="33" t="s">
        <v>285</v>
      </c>
      <c r="H46" s="33">
        <v>3.3</v>
      </c>
      <c r="I46" s="33">
        <v>1</v>
      </c>
      <c r="J46" s="33">
        <v>4.3</v>
      </c>
      <c r="K46" s="33" t="s">
        <v>114</v>
      </c>
      <c r="L46" s="61"/>
      <c r="N46" s="29">
        <f t="shared" si="1"/>
        <v>32</v>
      </c>
      <c r="O46" s="29" t="s">
        <v>71</v>
      </c>
      <c r="P46" s="29">
        <v>140</v>
      </c>
      <c r="Q46" s="29" t="s">
        <v>619</v>
      </c>
      <c r="R46" s="29" t="s">
        <v>620</v>
      </c>
      <c r="S46" s="29">
        <v>57</v>
      </c>
      <c r="T46" s="33" t="s">
        <v>106</v>
      </c>
      <c r="U46" s="33">
        <v>3.5</v>
      </c>
      <c r="V46" s="33">
        <v>1</v>
      </c>
      <c r="W46" s="33">
        <v>4.5</v>
      </c>
      <c r="X46" s="33" t="s">
        <v>114</v>
      </c>
      <c r="Y46" s="61"/>
    </row>
    <row r="47" spans="1:29">
      <c r="A47" s="29">
        <f t="shared" si="0"/>
        <v>33</v>
      </c>
      <c r="B47" s="33" t="s">
        <v>71</v>
      </c>
      <c r="C47" s="29">
        <v>110</v>
      </c>
      <c r="D47" s="33" t="s">
        <v>616</v>
      </c>
      <c r="E47" s="33" t="s">
        <v>616</v>
      </c>
      <c r="F47" s="33">
        <v>26</v>
      </c>
      <c r="G47" s="33" t="s">
        <v>285</v>
      </c>
      <c r="H47" s="33">
        <v>3.3</v>
      </c>
      <c r="I47" s="33">
        <v>1</v>
      </c>
      <c r="J47" s="33">
        <v>4.3</v>
      </c>
      <c r="K47" s="33" t="s">
        <v>114</v>
      </c>
      <c r="L47" s="61"/>
      <c r="N47" s="29">
        <f t="shared" si="1"/>
        <v>33</v>
      </c>
      <c r="O47" s="29" t="s">
        <v>71</v>
      </c>
      <c r="P47" s="29">
        <v>63</v>
      </c>
      <c r="Q47" s="29" t="s">
        <v>620</v>
      </c>
      <c r="R47" s="29" t="s">
        <v>621</v>
      </c>
      <c r="S47" s="29">
        <v>86.2</v>
      </c>
      <c r="T47" s="33" t="s">
        <v>106</v>
      </c>
      <c r="U47" s="33">
        <v>3.5</v>
      </c>
      <c r="V47" s="33">
        <v>1</v>
      </c>
      <c r="W47" s="33">
        <v>4.5</v>
      </c>
      <c r="X47" s="33" t="s">
        <v>114</v>
      </c>
      <c r="Y47" s="61"/>
    </row>
    <row r="48" spans="1:29">
      <c r="A48" s="29">
        <f t="shared" si="0"/>
        <v>34</v>
      </c>
      <c r="B48" s="33" t="s">
        <v>71</v>
      </c>
      <c r="C48" s="29">
        <v>63</v>
      </c>
      <c r="D48" s="33" t="s">
        <v>622</v>
      </c>
      <c r="E48" s="33" t="s">
        <v>283</v>
      </c>
      <c r="F48" s="33">
        <v>33</v>
      </c>
      <c r="G48" s="33" t="s">
        <v>285</v>
      </c>
      <c r="H48" s="33">
        <v>3.3</v>
      </c>
      <c r="I48" s="33">
        <v>1</v>
      </c>
      <c r="J48" s="33">
        <v>4.3</v>
      </c>
      <c r="K48" s="33" t="s">
        <v>114</v>
      </c>
      <c r="L48" s="61"/>
      <c r="N48" s="29">
        <f t="shared" si="1"/>
        <v>34</v>
      </c>
      <c r="O48" s="29" t="s">
        <v>71</v>
      </c>
      <c r="P48" s="29">
        <v>140</v>
      </c>
      <c r="Q48" s="29" t="s">
        <v>620</v>
      </c>
      <c r="R48" s="29" t="s">
        <v>623</v>
      </c>
      <c r="S48" s="29">
        <v>96.3</v>
      </c>
      <c r="T48" s="33" t="s">
        <v>106</v>
      </c>
      <c r="U48" s="33">
        <v>3.5</v>
      </c>
      <c r="V48" s="33">
        <v>1</v>
      </c>
      <c r="W48" s="33">
        <v>4.5</v>
      </c>
      <c r="X48" s="33" t="s">
        <v>114</v>
      </c>
      <c r="Y48" s="61"/>
    </row>
    <row r="49" spans="1:25">
      <c r="A49" s="29">
        <f t="shared" si="0"/>
        <v>35</v>
      </c>
      <c r="B49" s="33" t="s">
        <v>71</v>
      </c>
      <c r="C49" s="29">
        <v>110</v>
      </c>
      <c r="D49" s="33" t="s">
        <v>622</v>
      </c>
      <c r="E49" s="33" t="s">
        <v>624</v>
      </c>
      <c r="F49" s="33">
        <v>33.799999999999997</v>
      </c>
      <c r="G49" s="33" t="s">
        <v>285</v>
      </c>
      <c r="H49" s="33">
        <v>3.3</v>
      </c>
      <c r="I49" s="33">
        <v>1</v>
      </c>
      <c r="J49" s="33">
        <v>4.3</v>
      </c>
      <c r="K49" s="33" t="s">
        <v>114</v>
      </c>
      <c r="L49" s="61"/>
      <c r="N49" s="29">
        <f t="shared" si="1"/>
        <v>35</v>
      </c>
      <c r="O49" s="29" t="s">
        <v>71</v>
      </c>
      <c r="P49" s="29">
        <v>63</v>
      </c>
      <c r="Q49" s="29" t="s">
        <v>623</v>
      </c>
      <c r="R49" s="29" t="s">
        <v>625</v>
      </c>
      <c r="S49" s="29">
        <v>21.3</v>
      </c>
      <c r="T49" s="33" t="s">
        <v>106</v>
      </c>
      <c r="U49" s="33">
        <v>3.5</v>
      </c>
      <c r="V49" s="33">
        <v>1</v>
      </c>
      <c r="W49" s="33">
        <v>4.5</v>
      </c>
      <c r="X49" s="33" t="s">
        <v>114</v>
      </c>
      <c r="Y49" s="61"/>
    </row>
    <row r="50" spans="1:25">
      <c r="A50" s="29">
        <f t="shared" si="0"/>
        <v>36</v>
      </c>
      <c r="B50" s="33" t="s">
        <v>71</v>
      </c>
      <c r="C50" s="29">
        <v>90</v>
      </c>
      <c r="D50" s="33" t="s">
        <v>624</v>
      </c>
      <c r="E50" s="33" t="s">
        <v>626</v>
      </c>
      <c r="F50" s="29">
        <v>44.6</v>
      </c>
      <c r="G50" s="33" t="s">
        <v>285</v>
      </c>
      <c r="H50" s="33">
        <v>3.3</v>
      </c>
      <c r="I50" s="33">
        <v>1</v>
      </c>
      <c r="J50" s="33">
        <v>4.3</v>
      </c>
      <c r="K50" s="33" t="s">
        <v>114</v>
      </c>
      <c r="L50" s="61"/>
      <c r="N50" s="29">
        <f t="shared" si="1"/>
        <v>36</v>
      </c>
      <c r="O50" s="29" t="s">
        <v>71</v>
      </c>
      <c r="P50" s="29">
        <v>140</v>
      </c>
      <c r="Q50" s="29" t="s">
        <v>623</v>
      </c>
      <c r="R50" s="29" t="s">
        <v>73</v>
      </c>
      <c r="S50" s="29">
        <v>13</v>
      </c>
      <c r="T50" s="33" t="s">
        <v>106</v>
      </c>
      <c r="U50" s="33">
        <v>3.5</v>
      </c>
      <c r="V50" s="33">
        <v>1</v>
      </c>
      <c r="W50" s="33">
        <v>4.5</v>
      </c>
      <c r="X50" s="33" t="s">
        <v>114</v>
      </c>
      <c r="Y50" s="61"/>
    </row>
    <row r="51" spans="1:25">
      <c r="A51" s="29">
        <f t="shared" si="0"/>
        <v>37</v>
      </c>
      <c r="B51" s="33" t="s">
        <v>71</v>
      </c>
      <c r="C51" s="29">
        <v>90</v>
      </c>
      <c r="D51" s="33" t="s">
        <v>626</v>
      </c>
      <c r="E51" s="33" t="s">
        <v>627</v>
      </c>
      <c r="F51" s="29">
        <v>133</v>
      </c>
      <c r="G51" s="33" t="s">
        <v>285</v>
      </c>
      <c r="H51" s="33">
        <v>3.3</v>
      </c>
      <c r="I51" s="33">
        <v>1</v>
      </c>
      <c r="J51" s="33">
        <v>4.3</v>
      </c>
      <c r="K51" s="33" t="s">
        <v>114</v>
      </c>
      <c r="L51" s="61"/>
      <c r="N51" s="29">
        <f t="shared" si="1"/>
        <v>37</v>
      </c>
      <c r="O51" s="29" t="s">
        <v>71</v>
      </c>
      <c r="P51" s="29">
        <v>63</v>
      </c>
      <c r="Q51" s="29" t="s">
        <v>73</v>
      </c>
      <c r="R51" s="29" t="s">
        <v>628</v>
      </c>
      <c r="S51" s="29">
        <v>113.5</v>
      </c>
      <c r="T51" s="33" t="s">
        <v>106</v>
      </c>
      <c r="U51" s="33">
        <v>3.5</v>
      </c>
      <c r="V51" s="33">
        <v>1</v>
      </c>
      <c r="W51" s="33">
        <v>4.5</v>
      </c>
      <c r="X51" s="33" t="s">
        <v>114</v>
      </c>
      <c r="Y51" s="61"/>
    </row>
    <row r="52" spans="1:25">
      <c r="A52" s="29">
        <f t="shared" si="0"/>
        <v>38</v>
      </c>
      <c r="B52" s="33" t="s">
        <v>71</v>
      </c>
      <c r="C52" s="29">
        <v>9</v>
      </c>
      <c r="D52" s="33" t="s">
        <v>626</v>
      </c>
      <c r="E52" s="33" t="s">
        <v>511</v>
      </c>
      <c r="F52" s="29">
        <v>180</v>
      </c>
      <c r="G52" s="33" t="s">
        <v>285</v>
      </c>
      <c r="H52" s="33">
        <v>3.3</v>
      </c>
      <c r="I52" s="33">
        <v>1</v>
      </c>
      <c r="J52" s="33">
        <v>4.3</v>
      </c>
      <c r="K52" s="33" t="s">
        <v>114</v>
      </c>
      <c r="L52" s="61"/>
      <c r="N52" s="29">
        <f t="shared" si="1"/>
        <v>38</v>
      </c>
      <c r="O52" s="29" t="s">
        <v>71</v>
      </c>
      <c r="P52" s="29">
        <v>140</v>
      </c>
      <c r="Q52" s="29" t="s">
        <v>73</v>
      </c>
      <c r="R52" s="29" t="s">
        <v>629</v>
      </c>
      <c r="S52" s="29">
        <v>65.3</v>
      </c>
      <c r="T52" s="33" t="s">
        <v>106</v>
      </c>
      <c r="U52" s="33">
        <v>3.5</v>
      </c>
      <c r="V52" s="33">
        <v>1</v>
      </c>
      <c r="W52" s="33">
        <v>4.5</v>
      </c>
      <c r="X52" s="33" t="s">
        <v>114</v>
      </c>
      <c r="Y52" s="61"/>
    </row>
    <row r="53" spans="1:25">
      <c r="A53" s="29">
        <f t="shared" si="0"/>
        <v>39</v>
      </c>
      <c r="B53" s="33" t="s">
        <v>71</v>
      </c>
      <c r="C53" s="29">
        <v>75</v>
      </c>
      <c r="D53" s="33" t="s">
        <v>511</v>
      </c>
      <c r="E53" s="33" t="s">
        <v>630</v>
      </c>
      <c r="F53" s="29">
        <v>46.5</v>
      </c>
      <c r="G53" s="33" t="s">
        <v>285</v>
      </c>
      <c r="H53" s="33">
        <v>3.3</v>
      </c>
      <c r="I53" s="33">
        <v>1</v>
      </c>
      <c r="J53" s="33">
        <v>4.3</v>
      </c>
      <c r="K53" s="33" t="s">
        <v>114</v>
      </c>
      <c r="L53" s="61"/>
      <c r="N53" s="29">
        <f t="shared" si="1"/>
        <v>39</v>
      </c>
      <c r="O53" s="29" t="s">
        <v>71</v>
      </c>
      <c r="P53" s="29">
        <v>140</v>
      </c>
      <c r="Q53" s="29" t="s">
        <v>629</v>
      </c>
      <c r="R53" s="29" t="s">
        <v>589</v>
      </c>
      <c r="S53" s="29">
        <v>27</v>
      </c>
      <c r="T53" s="33" t="s">
        <v>106</v>
      </c>
      <c r="U53" s="33">
        <v>3.5</v>
      </c>
      <c r="V53" s="33">
        <v>1</v>
      </c>
      <c r="W53" s="33">
        <v>4.5</v>
      </c>
      <c r="X53" s="33" t="s">
        <v>114</v>
      </c>
      <c r="Y53" s="61"/>
    </row>
    <row r="54" spans="1:25">
      <c r="A54" s="29">
        <f t="shared" si="0"/>
        <v>40</v>
      </c>
      <c r="B54" s="33" t="s">
        <v>71</v>
      </c>
      <c r="C54" s="29">
        <v>75</v>
      </c>
      <c r="D54" s="33" t="s">
        <v>631</v>
      </c>
      <c r="E54" s="33" t="s">
        <v>630</v>
      </c>
      <c r="F54" s="29">
        <v>81</v>
      </c>
      <c r="G54" s="33" t="s">
        <v>285</v>
      </c>
      <c r="H54" s="33">
        <v>3.3</v>
      </c>
      <c r="I54" s="33">
        <v>1</v>
      </c>
      <c r="J54" s="33">
        <v>4.3</v>
      </c>
      <c r="K54" s="33" t="s">
        <v>114</v>
      </c>
      <c r="L54" s="61"/>
      <c r="N54" s="29">
        <f t="shared" si="1"/>
        <v>40</v>
      </c>
      <c r="O54" s="29" t="s">
        <v>71</v>
      </c>
      <c r="P54" s="29">
        <v>63</v>
      </c>
      <c r="Q54" s="29" t="s">
        <v>589</v>
      </c>
      <c r="R54" s="29" t="s">
        <v>632</v>
      </c>
      <c r="S54" s="29">
        <v>57.3</v>
      </c>
      <c r="T54" s="33" t="s">
        <v>106</v>
      </c>
      <c r="U54" s="33">
        <v>3.5</v>
      </c>
      <c r="V54" s="33">
        <v>1</v>
      </c>
      <c r="W54" s="33">
        <v>4.5</v>
      </c>
      <c r="X54" s="33" t="s">
        <v>114</v>
      </c>
      <c r="Y54" s="61"/>
    </row>
    <row r="55" spans="1:25">
      <c r="A55" s="29">
        <f t="shared" si="0"/>
        <v>41</v>
      </c>
      <c r="B55" s="33" t="s">
        <v>71</v>
      </c>
      <c r="C55" s="29">
        <v>75</v>
      </c>
      <c r="D55" s="33" t="s">
        <v>631</v>
      </c>
      <c r="E55" s="33" t="s">
        <v>633</v>
      </c>
      <c r="F55" s="29">
        <v>76</v>
      </c>
      <c r="G55" s="33" t="s">
        <v>285</v>
      </c>
      <c r="H55" s="33">
        <v>3.3</v>
      </c>
      <c r="I55" s="33">
        <v>1</v>
      </c>
      <c r="J55" s="33">
        <v>4.3</v>
      </c>
      <c r="K55" s="33" t="s">
        <v>114</v>
      </c>
      <c r="L55" s="61"/>
      <c r="N55" s="29">
        <f t="shared" si="1"/>
        <v>41</v>
      </c>
      <c r="O55" s="29" t="s">
        <v>71</v>
      </c>
      <c r="P55" s="29">
        <v>110</v>
      </c>
      <c r="Q55" s="29" t="s">
        <v>634</v>
      </c>
      <c r="R55" s="29" t="s">
        <v>635</v>
      </c>
      <c r="S55" s="29">
        <v>57</v>
      </c>
      <c r="T55" s="33" t="s">
        <v>106</v>
      </c>
      <c r="U55" s="33">
        <v>3.5</v>
      </c>
      <c r="V55" s="33">
        <v>1</v>
      </c>
      <c r="W55" s="33">
        <v>4.5</v>
      </c>
      <c r="X55" s="33" t="s">
        <v>114</v>
      </c>
      <c r="Y55" s="61"/>
    </row>
    <row r="56" spans="1:25">
      <c r="A56" s="29">
        <f t="shared" si="0"/>
        <v>42</v>
      </c>
      <c r="B56" s="33" t="s">
        <v>71</v>
      </c>
      <c r="C56" s="29">
        <v>90</v>
      </c>
      <c r="D56" s="33" t="s">
        <v>631</v>
      </c>
      <c r="E56" s="33" t="s">
        <v>636</v>
      </c>
      <c r="F56" s="29">
        <v>12</v>
      </c>
      <c r="G56" s="33" t="s">
        <v>285</v>
      </c>
      <c r="H56" s="33">
        <v>3.3</v>
      </c>
      <c r="I56" s="33">
        <v>1</v>
      </c>
      <c r="J56" s="33">
        <v>4.3</v>
      </c>
      <c r="K56" s="33" t="s">
        <v>114</v>
      </c>
      <c r="L56" s="61"/>
      <c r="N56" s="29">
        <f t="shared" si="1"/>
        <v>42</v>
      </c>
      <c r="O56" s="29" t="s">
        <v>71</v>
      </c>
      <c r="P56" s="29">
        <v>110</v>
      </c>
      <c r="Q56" s="29" t="s">
        <v>635</v>
      </c>
      <c r="R56" s="29" t="s">
        <v>637</v>
      </c>
      <c r="S56" s="29">
        <v>64</v>
      </c>
      <c r="T56" s="33" t="s">
        <v>106</v>
      </c>
      <c r="U56" s="33">
        <v>3.5</v>
      </c>
      <c r="V56" s="33">
        <v>1</v>
      </c>
      <c r="W56" s="33">
        <v>4.5</v>
      </c>
      <c r="X56" s="33" t="s">
        <v>114</v>
      </c>
      <c r="Y56" s="61"/>
    </row>
    <row r="57" spans="1:25">
      <c r="A57" s="29">
        <f t="shared" si="0"/>
        <v>43</v>
      </c>
      <c r="B57" s="33" t="s">
        <v>71</v>
      </c>
      <c r="C57" s="29">
        <v>63</v>
      </c>
      <c r="D57" s="33" t="s">
        <v>636</v>
      </c>
      <c r="E57" s="33" t="s">
        <v>638</v>
      </c>
      <c r="F57" s="29">
        <v>32.5</v>
      </c>
      <c r="G57" s="33" t="s">
        <v>285</v>
      </c>
      <c r="H57" s="33">
        <v>3.3</v>
      </c>
      <c r="I57" s="33">
        <v>1</v>
      </c>
      <c r="J57" s="33">
        <v>4.3</v>
      </c>
      <c r="K57" s="33" t="s">
        <v>114</v>
      </c>
      <c r="L57" s="61"/>
      <c r="N57" s="29">
        <f t="shared" si="1"/>
        <v>43</v>
      </c>
      <c r="O57" s="29" t="s">
        <v>71</v>
      </c>
      <c r="P57" s="29">
        <v>110</v>
      </c>
      <c r="Q57" s="29" t="s">
        <v>635</v>
      </c>
      <c r="R57" s="29" t="s">
        <v>637</v>
      </c>
      <c r="S57" s="29">
        <v>85</v>
      </c>
      <c r="T57" s="33" t="s">
        <v>106</v>
      </c>
      <c r="U57" s="33">
        <v>3.5</v>
      </c>
      <c r="V57" s="33">
        <v>1</v>
      </c>
      <c r="W57" s="33">
        <v>4.5</v>
      </c>
      <c r="X57" s="33" t="s">
        <v>114</v>
      </c>
      <c r="Y57" s="61"/>
    </row>
    <row r="58" spans="1:25">
      <c r="A58" s="29">
        <f t="shared" si="0"/>
        <v>44</v>
      </c>
      <c r="B58" s="33" t="s">
        <v>71</v>
      </c>
      <c r="C58" s="29">
        <v>63</v>
      </c>
      <c r="D58" s="33" t="s">
        <v>636</v>
      </c>
      <c r="E58" s="33" t="s">
        <v>639</v>
      </c>
      <c r="F58" s="29">
        <v>67</v>
      </c>
      <c r="G58" s="33" t="s">
        <v>285</v>
      </c>
      <c r="H58" s="33">
        <v>3.3</v>
      </c>
      <c r="I58" s="33">
        <v>1</v>
      </c>
      <c r="J58" s="33">
        <v>4.3</v>
      </c>
      <c r="K58" s="33" t="s">
        <v>114</v>
      </c>
      <c r="L58" s="61"/>
      <c r="N58" s="29">
        <f t="shared" si="1"/>
        <v>44</v>
      </c>
      <c r="O58" s="29" t="s">
        <v>71</v>
      </c>
      <c r="P58" s="29">
        <v>110</v>
      </c>
      <c r="Q58" s="29" t="s">
        <v>640</v>
      </c>
      <c r="R58" s="29" t="s">
        <v>641</v>
      </c>
      <c r="S58" s="29">
        <v>40</v>
      </c>
      <c r="T58" s="33" t="s">
        <v>106</v>
      </c>
      <c r="U58" s="33">
        <v>3.5</v>
      </c>
      <c r="V58" s="33">
        <v>1</v>
      </c>
      <c r="W58" s="33">
        <v>4.5</v>
      </c>
      <c r="X58" s="33" t="s">
        <v>114</v>
      </c>
      <c r="Y58" s="61"/>
    </row>
    <row r="59" spans="1:25">
      <c r="A59" s="29">
        <f t="shared" si="0"/>
        <v>45</v>
      </c>
      <c r="B59" s="33" t="s">
        <v>71</v>
      </c>
      <c r="C59" s="29">
        <v>90</v>
      </c>
      <c r="D59" s="33" t="s">
        <v>636</v>
      </c>
      <c r="E59" s="33" t="s">
        <v>642</v>
      </c>
      <c r="F59" s="29">
        <v>102</v>
      </c>
      <c r="G59" s="33" t="s">
        <v>285</v>
      </c>
      <c r="H59" s="33">
        <v>3.3</v>
      </c>
      <c r="I59" s="33">
        <v>1</v>
      </c>
      <c r="J59" s="33">
        <v>4.3</v>
      </c>
      <c r="K59" s="33" t="s">
        <v>114</v>
      </c>
      <c r="L59" s="61"/>
      <c r="N59" s="29">
        <f t="shared" si="1"/>
        <v>45</v>
      </c>
      <c r="O59" s="29" t="s">
        <v>71</v>
      </c>
      <c r="P59" s="29">
        <v>110</v>
      </c>
      <c r="Q59" s="29" t="s">
        <v>643</v>
      </c>
      <c r="R59" s="29" t="s">
        <v>644</v>
      </c>
      <c r="S59" s="29">
        <v>30</v>
      </c>
      <c r="T59" s="33" t="s">
        <v>106</v>
      </c>
      <c r="U59" s="33">
        <v>3.5</v>
      </c>
      <c r="V59" s="33">
        <v>1</v>
      </c>
      <c r="W59" s="33">
        <v>4.5</v>
      </c>
      <c r="X59" s="33" t="s">
        <v>114</v>
      </c>
      <c r="Y59" s="61"/>
    </row>
    <row r="60" spans="1:25">
      <c r="A60" s="29">
        <f t="shared" si="0"/>
        <v>46</v>
      </c>
      <c r="B60" s="33" t="s">
        <v>71</v>
      </c>
      <c r="C60" s="29">
        <v>75</v>
      </c>
      <c r="D60" s="33" t="s">
        <v>642</v>
      </c>
      <c r="E60" s="33" t="s">
        <v>645</v>
      </c>
      <c r="F60" s="29">
        <v>199</v>
      </c>
      <c r="G60" s="33" t="s">
        <v>285</v>
      </c>
      <c r="H60" s="33">
        <v>3.3</v>
      </c>
      <c r="I60" s="33">
        <v>1</v>
      </c>
      <c r="J60" s="33">
        <v>4.3</v>
      </c>
      <c r="K60" s="33" t="s">
        <v>114</v>
      </c>
      <c r="L60" s="61"/>
      <c r="N60" s="29">
        <f t="shared" si="1"/>
        <v>46</v>
      </c>
      <c r="O60" s="29" t="s">
        <v>71</v>
      </c>
      <c r="P60" s="29">
        <v>110</v>
      </c>
      <c r="Q60" s="29" t="s">
        <v>641</v>
      </c>
      <c r="R60" s="29" t="s">
        <v>561</v>
      </c>
      <c r="S60" s="29">
        <v>375</v>
      </c>
      <c r="T60" s="33" t="s">
        <v>106</v>
      </c>
      <c r="U60" s="33">
        <v>3.5</v>
      </c>
      <c r="V60" s="33">
        <v>1</v>
      </c>
      <c r="W60" s="33">
        <v>4.5</v>
      </c>
      <c r="X60" s="33" t="s">
        <v>114</v>
      </c>
      <c r="Y60" s="61"/>
    </row>
    <row r="61" spans="1:25">
      <c r="A61" s="324"/>
      <c r="B61" s="324"/>
      <c r="C61" s="325" t="s">
        <v>86</v>
      </c>
      <c r="D61" s="325"/>
      <c r="E61" s="325"/>
      <c r="F61" s="325"/>
      <c r="G61" s="325" t="s">
        <v>87</v>
      </c>
      <c r="H61" s="325"/>
      <c r="I61" s="325"/>
      <c r="J61" s="325" t="s">
        <v>39</v>
      </c>
      <c r="K61" s="325"/>
      <c r="L61" s="325"/>
      <c r="N61" s="29">
        <f t="shared" si="1"/>
        <v>47</v>
      </c>
      <c r="O61" s="29" t="s">
        <v>71</v>
      </c>
      <c r="P61" s="29">
        <v>110</v>
      </c>
      <c r="Q61" s="29" t="s">
        <v>561</v>
      </c>
      <c r="R61" s="29" t="s">
        <v>558</v>
      </c>
      <c r="S61" s="29">
        <v>65</v>
      </c>
      <c r="T61" s="33" t="s">
        <v>106</v>
      </c>
      <c r="U61" s="33">
        <v>3.5</v>
      </c>
      <c r="V61" s="33">
        <v>1</v>
      </c>
      <c r="W61" s="33">
        <v>4.5</v>
      </c>
      <c r="X61" s="33" t="s">
        <v>114</v>
      </c>
      <c r="Y61" s="61"/>
    </row>
    <row r="62" spans="1:25">
      <c r="A62" s="295" t="s">
        <v>40</v>
      </c>
      <c r="B62" s="295"/>
      <c r="C62" s="317" t="s">
        <v>540</v>
      </c>
      <c r="D62" s="317"/>
      <c r="E62" s="317"/>
      <c r="F62" s="317"/>
      <c r="G62" s="317"/>
      <c r="H62" s="317"/>
      <c r="I62" s="317"/>
      <c r="J62" s="317"/>
      <c r="K62" s="317"/>
      <c r="L62" s="317"/>
      <c r="N62" s="29">
        <f t="shared" si="1"/>
        <v>48</v>
      </c>
      <c r="O62" s="29" t="s">
        <v>71</v>
      </c>
      <c r="P62" s="29">
        <v>110</v>
      </c>
      <c r="Q62" s="29" t="s">
        <v>558</v>
      </c>
      <c r="R62" s="29" t="s">
        <v>646</v>
      </c>
      <c r="S62" s="29">
        <v>204</v>
      </c>
      <c r="T62" s="33" t="s">
        <v>106</v>
      </c>
      <c r="U62" s="33">
        <v>3.5</v>
      </c>
      <c r="V62" s="33">
        <v>1</v>
      </c>
      <c r="W62" s="33">
        <v>4.5</v>
      </c>
      <c r="X62" s="33" t="s">
        <v>114</v>
      </c>
      <c r="Y62" s="61"/>
    </row>
    <row r="63" spans="1:25">
      <c r="A63" s="295" t="s">
        <v>41</v>
      </c>
      <c r="B63" s="295"/>
      <c r="C63" s="317" t="s">
        <v>541</v>
      </c>
      <c r="D63" s="317"/>
      <c r="E63" s="317"/>
      <c r="F63" s="317"/>
      <c r="G63" s="317"/>
      <c r="H63" s="317"/>
      <c r="I63" s="317"/>
      <c r="J63" s="317"/>
      <c r="K63" s="317"/>
      <c r="L63" s="317"/>
      <c r="N63" s="29">
        <f t="shared" si="1"/>
        <v>49</v>
      </c>
      <c r="O63" s="29" t="s">
        <v>71</v>
      </c>
      <c r="P63" s="29">
        <v>110</v>
      </c>
      <c r="Q63" s="29" t="s">
        <v>646</v>
      </c>
      <c r="R63" s="29" t="s">
        <v>647</v>
      </c>
      <c r="S63" s="29">
        <v>454</v>
      </c>
      <c r="T63" s="33" t="s">
        <v>106</v>
      </c>
      <c r="U63" s="33">
        <v>3.5</v>
      </c>
      <c r="V63" s="33">
        <v>1</v>
      </c>
      <c r="W63" s="33">
        <v>4.5</v>
      </c>
      <c r="X63" s="33" t="s">
        <v>114</v>
      </c>
      <c r="Y63" s="61"/>
    </row>
    <row r="64" spans="1:25">
      <c r="A64" s="295" t="s">
        <v>42</v>
      </c>
      <c r="B64" s="295"/>
      <c r="C64" s="317"/>
      <c r="D64" s="317"/>
      <c r="E64" s="317"/>
      <c r="F64" s="317"/>
      <c r="G64" s="317"/>
      <c r="H64" s="317"/>
      <c r="I64" s="317"/>
      <c r="J64" s="317"/>
      <c r="K64" s="317"/>
      <c r="L64" s="317"/>
      <c r="N64" s="29">
        <f t="shared" si="1"/>
        <v>50</v>
      </c>
      <c r="O64" s="29" t="s">
        <v>71</v>
      </c>
      <c r="P64" s="29">
        <v>63</v>
      </c>
      <c r="Q64" s="29" t="s">
        <v>92</v>
      </c>
      <c r="R64" s="29" t="s">
        <v>648</v>
      </c>
      <c r="S64" s="29">
        <v>252</v>
      </c>
      <c r="T64" s="33" t="s">
        <v>106</v>
      </c>
      <c r="U64" s="33">
        <v>3.5</v>
      </c>
      <c r="V64" s="33">
        <v>1</v>
      </c>
      <c r="W64" s="33">
        <v>4.5</v>
      </c>
      <c r="X64" s="33" t="s">
        <v>114</v>
      </c>
      <c r="Y64" s="61"/>
    </row>
    <row r="65" spans="1:25">
      <c r="A65" s="295" t="s">
        <v>43</v>
      </c>
      <c r="B65" s="295"/>
      <c r="C65" s="315"/>
      <c r="D65" s="316"/>
      <c r="E65" s="316"/>
      <c r="F65" s="316"/>
      <c r="G65" s="317"/>
      <c r="H65" s="317"/>
      <c r="I65" s="317"/>
      <c r="J65" s="317"/>
      <c r="K65" s="317"/>
      <c r="L65" s="317"/>
      <c r="N65" s="29">
        <f t="shared" si="1"/>
        <v>51</v>
      </c>
      <c r="O65" s="29" t="s">
        <v>71</v>
      </c>
      <c r="P65" s="29">
        <v>90</v>
      </c>
      <c r="Q65" s="29" t="s">
        <v>646</v>
      </c>
      <c r="R65" s="29" t="s">
        <v>649</v>
      </c>
      <c r="S65" s="29">
        <v>60.2</v>
      </c>
      <c r="T65" s="33" t="s">
        <v>106</v>
      </c>
      <c r="U65" s="33">
        <v>3.5</v>
      </c>
      <c r="V65" s="33">
        <v>1</v>
      </c>
      <c r="W65" s="33">
        <v>4.5</v>
      </c>
      <c r="X65" s="33" t="s">
        <v>114</v>
      </c>
      <c r="Y65" s="61"/>
    </row>
    <row r="66" spans="1:25">
      <c r="N66" s="29">
        <f t="shared" si="1"/>
        <v>52</v>
      </c>
      <c r="O66" s="29" t="s">
        <v>71</v>
      </c>
      <c r="P66" s="29">
        <v>63</v>
      </c>
      <c r="Q66" s="29" t="s">
        <v>649</v>
      </c>
      <c r="R66" s="29" t="s">
        <v>650</v>
      </c>
      <c r="S66" s="29">
        <v>32.799999999999997</v>
      </c>
      <c r="T66" s="33" t="s">
        <v>106</v>
      </c>
      <c r="U66" s="33">
        <v>3.5</v>
      </c>
      <c r="V66" s="33">
        <v>1</v>
      </c>
      <c r="W66" s="33">
        <v>4.5</v>
      </c>
      <c r="X66" s="33" t="s">
        <v>114</v>
      </c>
      <c r="Y66" s="61"/>
    </row>
    <row r="67" spans="1:25">
      <c r="N67" s="29">
        <f t="shared" si="1"/>
        <v>53</v>
      </c>
      <c r="O67" s="29" t="s">
        <v>71</v>
      </c>
      <c r="P67" s="29">
        <v>63</v>
      </c>
      <c r="Q67" s="29" t="s">
        <v>650</v>
      </c>
      <c r="R67" s="29" t="s">
        <v>651</v>
      </c>
      <c r="S67" s="29">
        <v>21.2</v>
      </c>
      <c r="T67" s="33" t="s">
        <v>106</v>
      </c>
      <c r="U67" s="33">
        <v>3.5</v>
      </c>
      <c r="V67" s="33">
        <v>1</v>
      </c>
      <c r="W67" s="33">
        <v>4.5</v>
      </c>
      <c r="X67" s="33" t="s">
        <v>114</v>
      </c>
      <c r="Y67" s="61"/>
    </row>
    <row r="68" spans="1:25">
      <c r="N68" s="29">
        <f t="shared" si="1"/>
        <v>54</v>
      </c>
      <c r="O68" s="29" t="s">
        <v>71</v>
      </c>
      <c r="P68" s="29">
        <v>63</v>
      </c>
      <c r="Q68" s="29" t="s">
        <v>650</v>
      </c>
      <c r="R68" s="29" t="s">
        <v>652</v>
      </c>
      <c r="S68" s="29">
        <v>40</v>
      </c>
      <c r="T68" s="33" t="s">
        <v>106</v>
      </c>
      <c r="U68" s="33">
        <v>3.5</v>
      </c>
      <c r="V68" s="33">
        <v>1</v>
      </c>
      <c r="W68" s="33">
        <v>4.5</v>
      </c>
      <c r="X68" s="33" t="s">
        <v>114</v>
      </c>
      <c r="Y68" s="61"/>
    </row>
    <row r="69" spans="1:25">
      <c r="N69" s="29">
        <f t="shared" si="1"/>
        <v>55</v>
      </c>
      <c r="O69" s="29" t="s">
        <v>71</v>
      </c>
      <c r="P69" s="29">
        <v>90</v>
      </c>
      <c r="Q69" s="29" t="s">
        <v>649</v>
      </c>
      <c r="R69" s="29" t="s">
        <v>555</v>
      </c>
      <c r="S69" s="29">
        <v>72.7</v>
      </c>
      <c r="T69" s="33" t="s">
        <v>106</v>
      </c>
      <c r="U69" s="33">
        <v>3.5</v>
      </c>
      <c r="V69" s="33">
        <v>1</v>
      </c>
      <c r="W69" s="33">
        <v>4.5</v>
      </c>
      <c r="X69" s="33" t="s">
        <v>114</v>
      </c>
      <c r="Y69" s="61"/>
    </row>
    <row r="70" spans="1:25">
      <c r="N70" s="29">
        <f t="shared" si="1"/>
        <v>56</v>
      </c>
      <c r="O70" s="29" t="s">
        <v>71</v>
      </c>
      <c r="P70" s="29">
        <v>63</v>
      </c>
      <c r="Q70" s="29" t="s">
        <v>653</v>
      </c>
      <c r="R70" s="29" t="s">
        <v>654</v>
      </c>
      <c r="S70" s="29">
        <v>52</v>
      </c>
      <c r="T70" s="33" t="s">
        <v>106</v>
      </c>
      <c r="U70" s="33">
        <v>3.5</v>
      </c>
      <c r="V70" s="33">
        <v>1</v>
      </c>
      <c r="W70" s="33">
        <v>4.5</v>
      </c>
      <c r="X70" s="33" t="s">
        <v>114</v>
      </c>
      <c r="Y70" s="61"/>
    </row>
    <row r="71" spans="1:25">
      <c r="N71" s="29">
        <f t="shared" si="1"/>
        <v>57</v>
      </c>
      <c r="O71" s="29" t="s">
        <v>71</v>
      </c>
      <c r="P71" s="29">
        <v>63</v>
      </c>
      <c r="Q71" s="29" t="s">
        <v>555</v>
      </c>
      <c r="R71" s="29" t="s">
        <v>655</v>
      </c>
      <c r="S71" s="29">
        <f>146.5</f>
        <v>146.5</v>
      </c>
      <c r="T71" s="33" t="s">
        <v>106</v>
      </c>
      <c r="U71" s="33">
        <v>3.5</v>
      </c>
      <c r="V71" s="33">
        <v>1</v>
      </c>
      <c r="W71" s="33">
        <v>4.5</v>
      </c>
      <c r="X71" s="33" t="s">
        <v>114</v>
      </c>
      <c r="Y71" s="61"/>
    </row>
    <row r="72" spans="1:25">
      <c r="N72" s="29">
        <f t="shared" si="1"/>
        <v>58</v>
      </c>
      <c r="O72" s="29" t="s">
        <v>71</v>
      </c>
      <c r="P72" s="29">
        <v>63</v>
      </c>
      <c r="Q72" s="29" t="s">
        <v>656</v>
      </c>
      <c r="R72" s="29" t="s">
        <v>657</v>
      </c>
      <c r="S72" s="29">
        <v>61</v>
      </c>
      <c r="T72" s="33" t="s">
        <v>106</v>
      </c>
      <c r="U72" s="33">
        <v>3.5</v>
      </c>
      <c r="V72" s="33">
        <v>1</v>
      </c>
      <c r="W72" s="33">
        <v>4.5</v>
      </c>
      <c r="X72" s="33" t="s">
        <v>114</v>
      </c>
      <c r="Y72" s="61"/>
    </row>
    <row r="73" spans="1:25">
      <c r="N73" s="29">
        <f t="shared" si="1"/>
        <v>59</v>
      </c>
      <c r="O73" s="29" t="s">
        <v>71</v>
      </c>
      <c r="P73" s="29">
        <v>63</v>
      </c>
      <c r="Q73" s="29" t="s">
        <v>656</v>
      </c>
      <c r="R73" s="29" t="s">
        <v>547</v>
      </c>
      <c r="S73" s="29">
        <v>181</v>
      </c>
      <c r="T73" s="33" t="s">
        <v>106</v>
      </c>
      <c r="U73" s="33">
        <v>3.5</v>
      </c>
      <c r="V73" s="33">
        <v>1</v>
      </c>
      <c r="W73" s="33">
        <v>4.5</v>
      </c>
      <c r="X73" s="33" t="s">
        <v>114</v>
      </c>
      <c r="Y73" s="61"/>
    </row>
    <row r="74" spans="1:25">
      <c r="N74" s="324"/>
      <c r="O74" s="324"/>
      <c r="P74" s="325" t="s">
        <v>86</v>
      </c>
      <c r="Q74" s="325"/>
      <c r="R74" s="325"/>
      <c r="S74" s="325"/>
      <c r="T74" s="325" t="s">
        <v>87</v>
      </c>
      <c r="U74" s="325"/>
      <c r="V74" s="325"/>
      <c r="W74" s="325" t="s">
        <v>39</v>
      </c>
      <c r="X74" s="325"/>
      <c r="Y74" s="325"/>
    </row>
    <row r="75" spans="1:25">
      <c r="N75" s="295" t="s">
        <v>40</v>
      </c>
      <c r="O75" s="295"/>
      <c r="P75" s="317" t="s">
        <v>540</v>
      </c>
      <c r="Q75" s="317"/>
      <c r="R75" s="317"/>
      <c r="S75" s="317"/>
      <c r="T75" s="317"/>
      <c r="U75" s="317"/>
      <c r="V75" s="317"/>
      <c r="W75" s="317"/>
      <c r="X75" s="317"/>
      <c r="Y75" s="317"/>
    </row>
    <row r="76" spans="1:25">
      <c r="N76" s="295" t="s">
        <v>41</v>
      </c>
      <c r="O76" s="295"/>
      <c r="P76" s="317" t="s">
        <v>541</v>
      </c>
      <c r="Q76" s="317"/>
      <c r="R76" s="317"/>
      <c r="S76" s="317"/>
      <c r="T76" s="317"/>
      <c r="U76" s="317"/>
      <c r="V76" s="317"/>
      <c r="W76" s="317"/>
      <c r="X76" s="317"/>
      <c r="Y76" s="317"/>
    </row>
    <row r="77" spans="1:25">
      <c r="N77" s="295" t="s">
        <v>42</v>
      </c>
      <c r="O77" s="295"/>
      <c r="P77" s="317"/>
      <c r="Q77" s="317"/>
      <c r="R77" s="317"/>
      <c r="S77" s="317"/>
      <c r="T77" s="317"/>
      <c r="U77" s="317"/>
      <c r="V77" s="317"/>
      <c r="W77" s="317"/>
      <c r="X77" s="317"/>
      <c r="Y77" s="317"/>
    </row>
    <row r="78" spans="1:25">
      <c r="N78" s="295" t="s">
        <v>43</v>
      </c>
      <c r="O78" s="295"/>
      <c r="P78" s="315"/>
      <c r="Q78" s="316"/>
      <c r="R78" s="316"/>
      <c r="S78" s="316"/>
      <c r="T78" s="317"/>
      <c r="U78" s="317"/>
      <c r="V78" s="317"/>
      <c r="W78" s="317"/>
      <c r="X78" s="317"/>
      <c r="Y78" s="317"/>
    </row>
  </sheetData>
  <mergeCells count="116">
    <mergeCell ref="AA6:AB6"/>
    <mergeCell ref="A7:B7"/>
    <mergeCell ref="N7:O7"/>
    <mergeCell ref="AA7:AB7"/>
    <mergeCell ref="AH13:AJ13"/>
    <mergeCell ref="AA26:AB26"/>
    <mergeCell ref="AC26:AF26"/>
    <mergeCell ref="AG26:AI26"/>
    <mergeCell ref="AJ26:AL26"/>
    <mergeCell ref="AA23:AB23"/>
    <mergeCell ref="AC23:AF23"/>
    <mergeCell ref="AG23:AI23"/>
    <mergeCell ref="AJ23:AL23"/>
    <mergeCell ref="T13:T14"/>
    <mergeCell ref="X13:X14"/>
    <mergeCell ref="Y13:Y14"/>
    <mergeCell ref="AF13:AF14"/>
    <mergeCell ref="AG13:AG14"/>
    <mergeCell ref="AK13:AK14"/>
    <mergeCell ref="AL13:AL14"/>
    <mergeCell ref="AD13:AD14"/>
    <mergeCell ref="AA27:AB27"/>
    <mergeCell ref="AC27:AF27"/>
    <mergeCell ref="AG27:AI27"/>
    <mergeCell ref="AJ27:AL27"/>
    <mergeCell ref="AA24:AB24"/>
    <mergeCell ref="AC24:AF24"/>
    <mergeCell ref="AG24:AI24"/>
    <mergeCell ref="AJ24:AL24"/>
    <mergeCell ref="A61:B61"/>
    <mergeCell ref="C61:F61"/>
    <mergeCell ref="G61:I61"/>
    <mergeCell ref="J61:L61"/>
    <mergeCell ref="A62:B62"/>
    <mergeCell ref="C62:F62"/>
    <mergeCell ref="G62:I62"/>
    <mergeCell ref="J62:L62"/>
    <mergeCell ref="A63:B63"/>
    <mergeCell ref="C63:F63"/>
    <mergeCell ref="G63:I63"/>
    <mergeCell ref="J63:L63"/>
    <mergeCell ref="T76:V76"/>
    <mergeCell ref="W76:Y76"/>
    <mergeCell ref="A64:B64"/>
    <mergeCell ref="C64:F64"/>
    <mergeCell ref="G64:I64"/>
    <mergeCell ref="J64:L64"/>
    <mergeCell ref="A65:B65"/>
    <mergeCell ref="C65:F65"/>
    <mergeCell ref="G65:I65"/>
    <mergeCell ref="J65:L65"/>
    <mergeCell ref="N74:O74"/>
    <mergeCell ref="A1:A4"/>
    <mergeCell ref="A13:A14"/>
    <mergeCell ref="B13:B14"/>
    <mergeCell ref="C13:C14"/>
    <mergeCell ref="D13:D14"/>
    <mergeCell ref="E13:E14"/>
    <mergeCell ref="F13:F14"/>
    <mergeCell ref="G13:G14"/>
    <mergeCell ref="K13:K14"/>
    <mergeCell ref="H13:J13"/>
    <mergeCell ref="A8:B8"/>
    <mergeCell ref="A9:L9"/>
    <mergeCell ref="A11:L11"/>
    <mergeCell ref="A5:B5"/>
    <mergeCell ref="A6:B6"/>
    <mergeCell ref="B1:I4"/>
    <mergeCell ref="N77:O77"/>
    <mergeCell ref="P77:S77"/>
    <mergeCell ref="T77:V77"/>
    <mergeCell ref="W77:Y77"/>
    <mergeCell ref="N78:O78"/>
    <mergeCell ref="P78:S78"/>
    <mergeCell ref="T78:V78"/>
    <mergeCell ref="W78:Y78"/>
    <mergeCell ref="N1:N4"/>
    <mergeCell ref="N13:N14"/>
    <mergeCell ref="O13:O14"/>
    <mergeCell ref="P13:P14"/>
    <mergeCell ref="Q13:Q14"/>
    <mergeCell ref="R13:R14"/>
    <mergeCell ref="P74:S74"/>
    <mergeCell ref="T74:V74"/>
    <mergeCell ref="W74:Y74"/>
    <mergeCell ref="N75:O75"/>
    <mergeCell ref="P75:S75"/>
    <mergeCell ref="T75:V75"/>
    <mergeCell ref="W75:Y75"/>
    <mergeCell ref="S32:S34"/>
    <mergeCell ref="N76:O76"/>
    <mergeCell ref="P76:S76"/>
    <mergeCell ref="AA1:AA4"/>
    <mergeCell ref="AA13:AA14"/>
    <mergeCell ref="AB13:AB14"/>
    <mergeCell ref="AC13:AC14"/>
    <mergeCell ref="L13:L14"/>
    <mergeCell ref="AA25:AB25"/>
    <mergeCell ref="AC25:AF25"/>
    <mergeCell ref="V12:W12"/>
    <mergeCell ref="U13:W13"/>
    <mergeCell ref="S13:S14"/>
    <mergeCell ref="N8:O8"/>
    <mergeCell ref="AA8:AB8"/>
    <mergeCell ref="N9:Y9"/>
    <mergeCell ref="AA9:AL9"/>
    <mergeCell ref="N11:Y11"/>
    <mergeCell ref="AA11:AL11"/>
    <mergeCell ref="N5:O5"/>
    <mergeCell ref="AA5:AB5"/>
    <mergeCell ref="N6:O6"/>
    <mergeCell ref="AB1:AI4"/>
    <mergeCell ref="O1:V4"/>
    <mergeCell ref="AG25:AI25"/>
    <mergeCell ref="AJ25:AL25"/>
    <mergeCell ref="AE13:AE14"/>
  </mergeCells>
  <printOptions horizontalCentered="1"/>
  <pageMargins left="0" right="0" top="0.98425196850393704" bottom="0.39370078740157499" header="0.31496062992126" footer="0.31496062992126"/>
  <pageSetup paperSize="9" scale="78" orientation="landscape" horizontalDpi="300" verticalDpi="300" r:id="rId1"/>
  <rowBreaks count="1" manualBreakCount="1">
    <brk id="37" max="37" man="1"/>
  </rowBreaks>
  <colBreaks count="1" manualBreakCount="1">
    <brk id="12" max="1048575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M360"/>
  <sheetViews>
    <sheetView topLeftCell="H37" zoomScale="55" zoomScaleNormal="55" workbookViewId="0">
      <selection activeCell="A96" sqref="A96:L100"/>
    </sheetView>
  </sheetViews>
  <sheetFormatPr defaultColWidth="9" defaultRowHeight="15"/>
  <cols>
    <col min="1" max="1" width="11.140625" customWidth="1"/>
    <col min="2" max="2" width="14.5703125" customWidth="1"/>
    <col min="7" max="7" width="16.140625" customWidth="1"/>
    <col min="8" max="8" width="12.140625" customWidth="1"/>
    <col min="9" max="10" width="11.5703125" customWidth="1"/>
    <col min="11" max="11" width="15" customWidth="1"/>
    <col min="12" max="12" width="17.85546875" customWidth="1"/>
    <col min="15" max="15" width="10.42578125" customWidth="1"/>
    <col min="20" max="20" width="27.5703125" customWidth="1"/>
    <col min="25" max="25" width="18.42578125" customWidth="1"/>
    <col min="29" max="29" width="12.85546875" customWidth="1"/>
    <col min="34" max="34" width="26.28515625" customWidth="1"/>
    <col min="37" max="37" width="11.5703125" customWidth="1"/>
    <col min="38" max="38" width="12.140625" customWidth="1"/>
    <col min="39" max="39" width="13.28515625" customWidth="1"/>
    <col min="42" max="42" width="12.85546875" customWidth="1"/>
    <col min="47" max="47" width="14" customWidth="1"/>
    <col min="60" max="60" width="30" customWidth="1"/>
  </cols>
  <sheetData>
    <row r="1" spans="1:65">
      <c r="A1" s="206"/>
      <c r="B1" s="211" t="s">
        <v>44</v>
      </c>
      <c r="C1" s="212"/>
      <c r="D1" s="212"/>
      <c r="E1" s="212"/>
      <c r="F1" s="212"/>
      <c r="G1" s="212"/>
      <c r="H1" s="212"/>
      <c r="I1" s="212"/>
      <c r="J1" s="20"/>
      <c r="K1" s="20"/>
      <c r="L1" s="21"/>
      <c r="N1" s="206"/>
      <c r="O1" s="211" t="s">
        <v>44</v>
      </c>
      <c r="P1" s="212"/>
      <c r="Q1" s="212"/>
      <c r="R1" s="212"/>
      <c r="S1" s="212"/>
      <c r="T1" s="212"/>
      <c r="U1" s="212"/>
      <c r="V1" s="212"/>
      <c r="W1" s="20"/>
      <c r="X1" s="20"/>
      <c r="Y1" s="21"/>
      <c r="AB1" s="206"/>
      <c r="AC1" s="211" t="s">
        <v>44</v>
      </c>
      <c r="AD1" s="212"/>
      <c r="AE1" s="212"/>
      <c r="AF1" s="212"/>
      <c r="AG1" s="212"/>
      <c r="AH1" s="212"/>
      <c r="AI1" s="212"/>
      <c r="AJ1" s="212"/>
      <c r="AK1" s="20"/>
      <c r="AL1" s="20"/>
      <c r="AM1" s="21"/>
      <c r="AO1" s="206"/>
      <c r="AP1" s="211" t="s">
        <v>44</v>
      </c>
      <c r="AQ1" s="212"/>
      <c r="AR1" s="212"/>
      <c r="AS1" s="212"/>
      <c r="AT1" s="212"/>
      <c r="AU1" s="212"/>
      <c r="AV1" s="212"/>
      <c r="AW1" s="212"/>
      <c r="AX1" s="20"/>
      <c r="AY1" s="20"/>
      <c r="AZ1" s="21"/>
      <c r="BB1" s="206"/>
      <c r="BC1" s="211" t="s">
        <v>44</v>
      </c>
      <c r="BD1" s="212"/>
      <c r="BE1" s="212"/>
      <c r="BF1" s="212"/>
      <c r="BG1" s="212"/>
      <c r="BH1" s="212"/>
      <c r="BI1" s="212"/>
      <c r="BJ1" s="212"/>
      <c r="BK1" s="20"/>
      <c r="BL1" s="20"/>
      <c r="BM1" s="21"/>
    </row>
    <row r="2" spans="1:65">
      <c r="A2" s="207"/>
      <c r="B2" s="214"/>
      <c r="C2" s="215"/>
      <c r="D2" s="215"/>
      <c r="E2" s="215"/>
      <c r="F2" s="215"/>
      <c r="G2" s="215"/>
      <c r="H2" s="215"/>
      <c r="I2" s="215"/>
      <c r="L2" s="22"/>
      <c r="N2" s="207"/>
      <c r="O2" s="214"/>
      <c r="P2" s="215"/>
      <c r="Q2" s="215"/>
      <c r="R2" s="215"/>
      <c r="S2" s="215"/>
      <c r="T2" s="215"/>
      <c r="U2" s="215"/>
      <c r="V2" s="215"/>
      <c r="Y2" s="22"/>
      <c r="AB2" s="207"/>
      <c r="AC2" s="214"/>
      <c r="AD2" s="215"/>
      <c r="AE2" s="215"/>
      <c r="AF2" s="215"/>
      <c r="AG2" s="215"/>
      <c r="AH2" s="215"/>
      <c r="AI2" s="215"/>
      <c r="AJ2" s="215"/>
      <c r="AM2" s="22"/>
      <c r="AO2" s="207"/>
      <c r="AP2" s="214"/>
      <c r="AQ2" s="215"/>
      <c r="AR2" s="215"/>
      <c r="AS2" s="215"/>
      <c r="AT2" s="215"/>
      <c r="AU2" s="215"/>
      <c r="AV2" s="215"/>
      <c r="AW2" s="215"/>
      <c r="AZ2" s="22"/>
      <c r="BB2" s="207"/>
      <c r="BC2" s="214"/>
      <c r="BD2" s="215"/>
      <c r="BE2" s="215"/>
      <c r="BF2" s="215"/>
      <c r="BG2" s="215"/>
      <c r="BH2" s="215"/>
      <c r="BI2" s="215"/>
      <c r="BJ2" s="215"/>
      <c r="BM2" s="22"/>
    </row>
    <row r="3" spans="1:65">
      <c r="A3" s="207"/>
      <c r="B3" s="214"/>
      <c r="C3" s="215"/>
      <c r="D3" s="215"/>
      <c r="E3" s="215"/>
      <c r="F3" s="215"/>
      <c r="G3" s="215"/>
      <c r="H3" s="215"/>
      <c r="I3" s="215"/>
      <c r="L3" s="22"/>
      <c r="N3" s="207"/>
      <c r="O3" s="214"/>
      <c r="P3" s="215"/>
      <c r="Q3" s="215"/>
      <c r="R3" s="215"/>
      <c r="S3" s="215"/>
      <c r="T3" s="215"/>
      <c r="U3" s="215"/>
      <c r="V3" s="215"/>
      <c r="Y3" s="22"/>
      <c r="AB3" s="207"/>
      <c r="AC3" s="214"/>
      <c r="AD3" s="215"/>
      <c r="AE3" s="215"/>
      <c r="AF3" s="215"/>
      <c r="AG3" s="215"/>
      <c r="AH3" s="215"/>
      <c r="AI3" s="215"/>
      <c r="AJ3" s="215"/>
      <c r="AM3" s="22"/>
      <c r="AO3" s="207"/>
      <c r="AP3" s="214"/>
      <c r="AQ3" s="215"/>
      <c r="AR3" s="215"/>
      <c r="AS3" s="215"/>
      <c r="AT3" s="215"/>
      <c r="AU3" s="215"/>
      <c r="AV3" s="215"/>
      <c r="AW3" s="215"/>
      <c r="AZ3" s="22"/>
      <c r="BB3" s="207"/>
      <c r="BC3" s="214"/>
      <c r="BD3" s="215"/>
      <c r="BE3" s="215"/>
      <c r="BF3" s="215"/>
      <c r="BG3" s="215"/>
      <c r="BH3" s="215"/>
      <c r="BI3" s="215"/>
      <c r="BJ3" s="215"/>
      <c r="BM3" s="22"/>
    </row>
    <row r="4" spans="1:65" ht="40.5" customHeight="1">
      <c r="A4" s="207"/>
      <c r="B4" s="289"/>
      <c r="C4" s="290"/>
      <c r="D4" s="290"/>
      <c r="E4" s="290"/>
      <c r="F4" s="290"/>
      <c r="G4" s="290"/>
      <c r="H4" s="290"/>
      <c r="I4" s="290"/>
      <c r="L4" s="22"/>
      <c r="N4" s="207"/>
      <c r="O4" s="289"/>
      <c r="P4" s="290"/>
      <c r="Q4" s="290"/>
      <c r="R4" s="290"/>
      <c r="S4" s="290"/>
      <c r="T4" s="290"/>
      <c r="U4" s="290"/>
      <c r="V4" s="290"/>
      <c r="Y4" s="22"/>
      <c r="AB4" s="207"/>
      <c r="AC4" s="289"/>
      <c r="AD4" s="290"/>
      <c r="AE4" s="290"/>
      <c r="AF4" s="290"/>
      <c r="AG4" s="290"/>
      <c r="AH4" s="290"/>
      <c r="AI4" s="290"/>
      <c r="AJ4" s="290"/>
      <c r="AM4" s="22"/>
      <c r="AO4" s="207"/>
      <c r="AP4" s="289"/>
      <c r="AQ4" s="290"/>
      <c r="AR4" s="290"/>
      <c r="AS4" s="290"/>
      <c r="AT4" s="290"/>
      <c r="AU4" s="290"/>
      <c r="AV4" s="290"/>
      <c r="AW4" s="290"/>
      <c r="AZ4" s="22"/>
      <c r="BB4" s="207"/>
      <c r="BC4" s="289"/>
      <c r="BD4" s="290"/>
      <c r="BE4" s="290"/>
      <c r="BF4" s="290"/>
      <c r="BG4" s="290"/>
      <c r="BH4" s="290"/>
      <c r="BI4" s="290"/>
      <c r="BJ4" s="290"/>
      <c r="BM4" s="22"/>
    </row>
    <row r="5" spans="1:65" ht="16.5">
      <c r="A5" s="223" t="s">
        <v>45</v>
      </c>
      <c r="B5" s="224"/>
      <c r="C5" s="7" t="s">
        <v>46</v>
      </c>
      <c r="D5" s="8"/>
      <c r="E5" s="8"/>
      <c r="F5" s="8"/>
      <c r="G5" s="8"/>
      <c r="H5" s="8"/>
      <c r="I5" s="8"/>
      <c r="J5" s="8"/>
      <c r="K5" s="8"/>
      <c r="L5" s="23"/>
      <c r="N5" s="223" t="s">
        <v>45</v>
      </c>
      <c r="O5" s="224"/>
      <c r="P5" s="7" t="s">
        <v>46</v>
      </c>
      <c r="Q5" s="8"/>
      <c r="R5" s="8"/>
      <c r="S5" s="8"/>
      <c r="T5" s="8"/>
      <c r="U5" s="8"/>
      <c r="V5" s="8"/>
      <c r="W5" s="8"/>
      <c r="X5" s="8"/>
      <c r="Y5" s="23"/>
      <c r="AB5" s="223" t="s">
        <v>45</v>
      </c>
      <c r="AC5" s="224"/>
      <c r="AD5" s="7" t="s">
        <v>46</v>
      </c>
      <c r="AE5" s="8"/>
      <c r="AF5" s="8"/>
      <c r="AG5" s="8"/>
      <c r="AH5" s="8"/>
      <c r="AI5" s="8"/>
      <c r="AJ5" s="8"/>
      <c r="AK5" s="8"/>
      <c r="AL5" s="8"/>
      <c r="AM5" s="23"/>
      <c r="AO5" s="223" t="s">
        <v>45</v>
      </c>
      <c r="AP5" s="224"/>
      <c r="AQ5" s="7" t="s">
        <v>46</v>
      </c>
      <c r="AR5" s="8"/>
      <c r="AS5" s="8"/>
      <c r="AT5" s="8"/>
      <c r="AU5" s="8"/>
      <c r="AV5" s="8"/>
      <c r="AW5" s="8"/>
      <c r="AX5" s="8"/>
      <c r="AY5" s="8"/>
      <c r="AZ5" s="23"/>
      <c r="BB5" s="223" t="s">
        <v>45</v>
      </c>
      <c r="BC5" s="224"/>
      <c r="BD5" s="7" t="s">
        <v>46</v>
      </c>
      <c r="BE5" s="8"/>
      <c r="BF5" s="8"/>
      <c r="BG5" s="8"/>
      <c r="BH5" s="8"/>
      <c r="BI5" s="8"/>
      <c r="BJ5" s="8"/>
      <c r="BK5" s="8"/>
      <c r="BL5" s="8"/>
      <c r="BM5" s="23"/>
    </row>
    <row r="6" spans="1:65" ht="16.5">
      <c r="A6" s="223" t="s">
        <v>48</v>
      </c>
      <c r="B6" s="224"/>
      <c r="C6" s="7" t="s">
        <v>49</v>
      </c>
      <c r="D6" s="8"/>
      <c r="E6" s="8"/>
      <c r="F6" s="8"/>
      <c r="G6" s="8"/>
      <c r="H6" s="8"/>
      <c r="I6" s="8"/>
      <c r="J6" s="8"/>
      <c r="K6" s="8"/>
      <c r="L6" s="23"/>
      <c r="N6" s="223" t="s">
        <v>48</v>
      </c>
      <c r="O6" s="224"/>
      <c r="P6" s="7" t="s">
        <v>49</v>
      </c>
      <c r="Q6" s="8"/>
      <c r="R6" s="8"/>
      <c r="S6" s="8"/>
      <c r="T6" s="8"/>
      <c r="U6" s="8"/>
      <c r="V6" s="8"/>
      <c r="W6" s="8"/>
      <c r="X6" s="8"/>
      <c r="Y6" s="23"/>
      <c r="AB6" s="223" t="s">
        <v>48</v>
      </c>
      <c r="AC6" s="224"/>
      <c r="AD6" s="7" t="s">
        <v>49</v>
      </c>
      <c r="AE6" s="8"/>
      <c r="AF6" s="8"/>
      <c r="AG6" s="8"/>
      <c r="AH6" s="8"/>
      <c r="AI6" s="8"/>
      <c r="AJ6" s="8"/>
      <c r="AK6" s="8"/>
      <c r="AL6" s="8"/>
      <c r="AM6" s="23"/>
      <c r="AO6" s="223" t="s">
        <v>48</v>
      </c>
      <c r="AP6" s="224"/>
      <c r="AQ6" s="7" t="s">
        <v>49</v>
      </c>
      <c r="AR6" s="8"/>
      <c r="AS6" s="8"/>
      <c r="AT6" s="8"/>
      <c r="AU6" s="8"/>
      <c r="AV6" s="8"/>
      <c r="AW6" s="8"/>
      <c r="AX6" s="8"/>
      <c r="AY6" s="8"/>
      <c r="AZ6" s="23"/>
      <c r="BB6" s="223" t="s">
        <v>48</v>
      </c>
      <c r="BC6" s="224"/>
      <c r="BD6" s="7" t="s">
        <v>49</v>
      </c>
      <c r="BE6" s="8"/>
      <c r="BF6" s="8"/>
      <c r="BG6" s="8"/>
      <c r="BH6" s="8"/>
      <c r="BI6" s="8"/>
      <c r="BJ6" s="8"/>
      <c r="BK6" s="8"/>
      <c r="BL6" s="8"/>
      <c r="BM6" s="23"/>
    </row>
    <row r="7" spans="1:65" ht="16.5">
      <c r="A7" s="225" t="s">
        <v>50</v>
      </c>
      <c r="B7" s="226"/>
      <c r="C7" s="7" t="s">
        <v>51</v>
      </c>
      <c r="D7" s="8"/>
      <c r="E7" s="8"/>
      <c r="F7" s="8"/>
      <c r="G7" s="8"/>
      <c r="H7" s="8"/>
      <c r="I7" s="8"/>
      <c r="J7" s="8"/>
      <c r="K7" s="8"/>
      <c r="L7" s="23"/>
      <c r="N7" s="225" t="s">
        <v>50</v>
      </c>
      <c r="O7" s="226"/>
      <c r="P7" s="7" t="s">
        <v>51</v>
      </c>
      <c r="Q7" s="8"/>
      <c r="R7" s="8"/>
      <c r="S7" s="8"/>
      <c r="T7" s="8"/>
      <c r="U7" s="8"/>
      <c r="V7" s="8"/>
      <c r="W7" s="8"/>
      <c r="X7" s="8"/>
      <c r="Y7" s="23"/>
      <c r="AB7" s="225" t="s">
        <v>50</v>
      </c>
      <c r="AC7" s="226"/>
      <c r="AD7" s="7" t="s">
        <v>51</v>
      </c>
      <c r="AE7" s="8"/>
      <c r="AF7" s="8"/>
      <c r="AG7" s="8"/>
      <c r="AH7" s="8"/>
      <c r="AI7" s="8"/>
      <c r="AJ7" s="8"/>
      <c r="AK7" s="8"/>
      <c r="AL7" s="8"/>
      <c r="AM7" s="23"/>
      <c r="AO7" s="225" t="s">
        <v>50</v>
      </c>
      <c r="AP7" s="226"/>
      <c r="AQ7" s="7" t="s">
        <v>51</v>
      </c>
      <c r="AR7" s="8"/>
      <c r="AS7" s="8"/>
      <c r="AT7" s="8"/>
      <c r="AU7" s="8"/>
      <c r="AV7" s="8"/>
      <c r="AW7" s="8"/>
      <c r="AX7" s="8"/>
      <c r="AY7" s="8"/>
      <c r="AZ7" s="23"/>
      <c r="BB7" s="225" t="s">
        <v>50</v>
      </c>
      <c r="BC7" s="226"/>
      <c r="BD7" s="7" t="s">
        <v>51</v>
      </c>
      <c r="BE7" s="8"/>
      <c r="BF7" s="8"/>
      <c r="BG7" s="8"/>
      <c r="BH7" s="8"/>
      <c r="BI7" s="8"/>
      <c r="BJ7" s="8"/>
      <c r="BK7" s="8"/>
      <c r="BL7" s="8"/>
      <c r="BM7" s="23"/>
    </row>
    <row r="8" spans="1:65" ht="16.5">
      <c r="A8" s="223" t="s">
        <v>52</v>
      </c>
      <c r="B8" s="224"/>
      <c r="C8" s="7" t="s">
        <v>53</v>
      </c>
      <c r="D8" s="8"/>
      <c r="E8" s="8"/>
      <c r="F8" s="8"/>
      <c r="G8" s="8"/>
      <c r="H8" s="8"/>
      <c r="I8" s="8"/>
      <c r="J8" s="8"/>
      <c r="K8" s="8"/>
      <c r="L8" s="23"/>
      <c r="N8" s="223" t="s">
        <v>52</v>
      </c>
      <c r="O8" s="224"/>
      <c r="P8" s="7" t="s">
        <v>53</v>
      </c>
      <c r="Q8" s="8"/>
      <c r="R8" s="8"/>
      <c r="S8" s="8"/>
      <c r="T8" s="8"/>
      <c r="U8" s="8"/>
      <c r="V8" s="8"/>
      <c r="W8" s="8"/>
      <c r="X8" s="8"/>
      <c r="Y8" s="23"/>
      <c r="AB8" s="223" t="s">
        <v>52</v>
      </c>
      <c r="AC8" s="224"/>
      <c r="AD8" s="7" t="s">
        <v>53</v>
      </c>
      <c r="AE8" s="8"/>
      <c r="AF8" s="8"/>
      <c r="AG8" s="8"/>
      <c r="AH8" s="8"/>
      <c r="AI8" s="8"/>
      <c r="AJ8" s="8"/>
      <c r="AK8" s="8"/>
      <c r="AL8" s="8"/>
      <c r="AM8" s="23"/>
      <c r="AO8" s="223" t="s">
        <v>52</v>
      </c>
      <c r="AP8" s="224"/>
      <c r="AQ8" s="7" t="s">
        <v>53</v>
      </c>
      <c r="AR8" s="8"/>
      <c r="AS8" s="8"/>
      <c r="AT8" s="8"/>
      <c r="AU8" s="8"/>
      <c r="AV8" s="8"/>
      <c r="AW8" s="8"/>
      <c r="AX8" s="8"/>
      <c r="AY8" s="8"/>
      <c r="AZ8" s="23"/>
      <c r="BB8" s="223" t="s">
        <v>52</v>
      </c>
      <c r="BC8" s="224"/>
      <c r="BD8" s="7" t="s">
        <v>53</v>
      </c>
      <c r="BE8" s="8"/>
      <c r="BF8" s="8"/>
      <c r="BG8" s="8"/>
      <c r="BH8" s="8"/>
      <c r="BI8" s="8"/>
      <c r="BJ8" s="8"/>
      <c r="BK8" s="8"/>
      <c r="BL8" s="8"/>
      <c r="BM8" s="23"/>
    </row>
    <row r="9" spans="1:65" ht="15.75">
      <c r="A9" s="227" t="s">
        <v>658</v>
      </c>
      <c r="B9" s="228"/>
      <c r="C9" s="228"/>
      <c r="D9" s="228"/>
      <c r="E9" s="228"/>
      <c r="F9" s="228"/>
      <c r="G9" s="228"/>
      <c r="H9" s="228"/>
      <c r="I9" s="228"/>
      <c r="J9" s="228"/>
      <c r="K9" s="228"/>
      <c r="L9" s="229"/>
      <c r="N9" s="227" t="s">
        <v>658</v>
      </c>
      <c r="O9" s="228"/>
      <c r="P9" s="228"/>
      <c r="Q9" s="228"/>
      <c r="R9" s="228"/>
      <c r="S9" s="228"/>
      <c r="T9" s="228"/>
      <c r="U9" s="228"/>
      <c r="V9" s="228"/>
      <c r="W9" s="228"/>
      <c r="X9" s="228"/>
      <c r="Y9" s="229"/>
      <c r="AB9" s="227" t="s">
        <v>658</v>
      </c>
      <c r="AC9" s="228"/>
      <c r="AD9" s="228"/>
      <c r="AE9" s="228"/>
      <c r="AF9" s="228"/>
      <c r="AG9" s="228"/>
      <c r="AH9" s="228"/>
      <c r="AI9" s="228"/>
      <c r="AJ9" s="228"/>
      <c r="AK9" s="228"/>
      <c r="AL9" s="228"/>
      <c r="AM9" s="229"/>
      <c r="AO9" s="227" t="s">
        <v>658</v>
      </c>
      <c r="AP9" s="228"/>
      <c r="AQ9" s="228"/>
      <c r="AR9" s="228"/>
      <c r="AS9" s="228"/>
      <c r="AT9" s="228"/>
      <c r="AU9" s="228"/>
      <c r="AV9" s="228"/>
      <c r="AW9" s="228"/>
      <c r="AX9" s="228"/>
      <c r="AY9" s="228"/>
      <c r="AZ9" s="229"/>
      <c r="BB9" s="227" t="s">
        <v>658</v>
      </c>
      <c r="BC9" s="228"/>
      <c r="BD9" s="228"/>
      <c r="BE9" s="228"/>
      <c r="BF9" s="228"/>
      <c r="BG9" s="228"/>
      <c r="BH9" s="228"/>
      <c r="BI9" s="228"/>
      <c r="BJ9" s="228"/>
      <c r="BK9" s="228"/>
      <c r="BL9" s="228"/>
      <c r="BM9" s="229"/>
    </row>
    <row r="10" spans="1:65" ht="15.75">
      <c r="A10" s="11" t="s">
        <v>55</v>
      </c>
      <c r="C10" s="12"/>
      <c r="D10" s="12"/>
      <c r="E10" s="12"/>
      <c r="F10" s="12"/>
      <c r="G10" s="24" t="s">
        <v>56</v>
      </c>
      <c r="H10" s="25"/>
      <c r="I10" s="12"/>
      <c r="J10" s="12"/>
      <c r="K10" s="12"/>
      <c r="L10" s="26"/>
      <c r="N10" s="11" t="s">
        <v>55</v>
      </c>
      <c r="O10" s="12"/>
      <c r="P10" s="12"/>
      <c r="Q10" s="12"/>
      <c r="R10" s="12"/>
      <c r="S10" s="12"/>
      <c r="T10" s="24" t="s">
        <v>56</v>
      </c>
      <c r="U10" s="25"/>
      <c r="V10" s="12"/>
      <c r="W10" s="12"/>
      <c r="X10" s="12"/>
      <c r="Y10" s="26"/>
      <c r="AB10" s="11" t="s">
        <v>55</v>
      </c>
      <c r="AC10" s="12"/>
      <c r="AD10" s="12"/>
      <c r="AE10" s="12"/>
      <c r="AF10" s="12"/>
      <c r="AG10" s="12"/>
      <c r="AH10" s="24" t="s">
        <v>56</v>
      </c>
      <c r="AI10" s="25"/>
      <c r="AJ10" s="12"/>
      <c r="AK10" s="12"/>
      <c r="AL10" s="12"/>
      <c r="AM10" s="26"/>
      <c r="AO10" s="11" t="s">
        <v>55</v>
      </c>
      <c r="AP10" s="12"/>
      <c r="AQ10" s="12"/>
      <c r="AR10" s="12"/>
      <c r="AS10" s="12"/>
      <c r="AT10" s="12"/>
      <c r="AU10" s="24" t="s">
        <v>56</v>
      </c>
      <c r="AV10" s="25"/>
      <c r="AW10" s="12"/>
      <c r="AX10" s="12"/>
      <c r="AY10" s="12"/>
      <c r="AZ10" s="26"/>
      <c r="BB10" s="11" t="s">
        <v>55</v>
      </c>
      <c r="BC10" s="12"/>
      <c r="BD10" s="12"/>
      <c r="BE10" s="12"/>
      <c r="BF10" s="12"/>
      <c r="BG10" s="12"/>
      <c r="BH10" s="24" t="s">
        <v>56</v>
      </c>
      <c r="BI10" s="25"/>
      <c r="BJ10" s="12"/>
      <c r="BK10" s="12"/>
      <c r="BL10" s="12"/>
      <c r="BM10" s="26"/>
    </row>
    <row r="11" spans="1:65">
      <c r="A11" s="217"/>
      <c r="B11" s="218"/>
      <c r="C11" s="218"/>
      <c r="D11" s="218"/>
      <c r="E11" s="218"/>
      <c r="F11" s="218"/>
      <c r="G11" s="218"/>
      <c r="H11" s="218"/>
      <c r="I11" s="218"/>
      <c r="J11" s="218"/>
      <c r="K11" s="218"/>
      <c r="L11" s="219"/>
      <c r="N11" s="217"/>
      <c r="O11" s="218"/>
      <c r="P11" s="218"/>
      <c r="Q11" s="218"/>
      <c r="R11" s="218"/>
      <c r="S11" s="218"/>
      <c r="T11" s="218"/>
      <c r="U11" s="218"/>
      <c r="V11" s="218"/>
      <c r="W11" s="218"/>
      <c r="X11" s="218"/>
      <c r="Y11" s="219"/>
      <c r="AB11" s="217"/>
      <c r="AC11" s="218"/>
      <c r="AD11" s="218"/>
      <c r="AE11" s="218"/>
      <c r="AF11" s="218"/>
      <c r="AG11" s="218"/>
      <c r="AH11" s="218"/>
      <c r="AI11" s="218"/>
      <c r="AJ11" s="218"/>
      <c r="AK11" s="218"/>
      <c r="AL11" s="218"/>
      <c r="AM11" s="219"/>
      <c r="AO11" s="217"/>
      <c r="AP11" s="218"/>
      <c r="AQ11" s="218"/>
      <c r="AR11" s="218"/>
      <c r="AS11" s="218"/>
      <c r="AT11" s="218"/>
      <c r="AU11" s="218"/>
      <c r="AV11" s="218"/>
      <c r="AW11" s="218"/>
      <c r="AX11" s="218"/>
      <c r="AY11" s="218"/>
      <c r="AZ11" s="219"/>
      <c r="BB11" s="217"/>
      <c r="BC11" s="218"/>
      <c r="BD11" s="218"/>
      <c r="BE11" s="218"/>
      <c r="BF11" s="218"/>
      <c r="BG11" s="218"/>
      <c r="BH11" s="218"/>
      <c r="BI11" s="218"/>
      <c r="BJ11" s="218"/>
      <c r="BK11" s="218"/>
      <c r="BL11" s="218"/>
      <c r="BM11" s="219"/>
    </row>
    <row r="12" spans="1:65" ht="15.75">
      <c r="A12" s="11" t="s">
        <v>103</v>
      </c>
      <c r="B12" s="71">
        <v>45099</v>
      </c>
      <c r="C12" s="73"/>
      <c r="D12" s="24"/>
      <c r="E12" s="74"/>
      <c r="F12" s="25"/>
      <c r="G12" s="24" t="s">
        <v>542</v>
      </c>
      <c r="H12" s="71">
        <v>45099</v>
      </c>
      <c r="I12" s="74"/>
      <c r="J12" s="74"/>
      <c r="K12" s="74"/>
      <c r="L12" s="80"/>
      <c r="N12" s="11" t="s">
        <v>103</v>
      </c>
      <c r="O12" s="106">
        <v>45101</v>
      </c>
      <c r="P12" s="73"/>
      <c r="Q12" s="24"/>
      <c r="R12" s="74"/>
      <c r="S12" s="25"/>
      <c r="T12" s="24" t="s">
        <v>542</v>
      </c>
      <c r="U12" s="339">
        <v>45101</v>
      </c>
      <c r="V12" s="273"/>
      <c r="W12" s="74"/>
      <c r="X12" s="74"/>
      <c r="Y12" s="80"/>
      <c r="AB12" s="11" t="s">
        <v>103</v>
      </c>
      <c r="AC12" s="106">
        <v>45103</v>
      </c>
      <c r="AD12" s="73"/>
      <c r="AE12" s="24"/>
      <c r="AF12" s="74"/>
      <c r="AG12" s="25"/>
      <c r="AH12" s="24" t="s">
        <v>542</v>
      </c>
      <c r="AI12" s="339">
        <v>45103</v>
      </c>
      <c r="AJ12" s="273"/>
      <c r="AK12" s="74"/>
      <c r="AL12" s="74"/>
      <c r="AM12" s="80"/>
      <c r="AO12" s="11" t="s">
        <v>103</v>
      </c>
      <c r="AP12" s="106">
        <v>45105</v>
      </c>
      <c r="AQ12" s="73"/>
      <c r="AR12" s="24"/>
      <c r="AS12" s="74"/>
      <c r="AT12" s="25"/>
      <c r="AU12" s="24" t="s">
        <v>542</v>
      </c>
      <c r="AW12" s="326">
        <v>45105</v>
      </c>
      <c r="AX12" s="240"/>
      <c r="AY12" s="74"/>
      <c r="AZ12" s="80"/>
      <c r="BB12" s="11" t="s">
        <v>103</v>
      </c>
      <c r="BC12" s="340">
        <v>45107</v>
      </c>
      <c r="BD12" s="341"/>
      <c r="BE12" s="24"/>
      <c r="BF12" s="74"/>
      <c r="BG12" s="25"/>
      <c r="BH12" s="24" t="s">
        <v>542</v>
      </c>
      <c r="BI12" s="340">
        <v>45107</v>
      </c>
      <c r="BJ12" s="341"/>
      <c r="BK12" s="74"/>
      <c r="BL12" s="74"/>
      <c r="BM12" s="80"/>
    </row>
    <row r="13" spans="1:65" s="103" customFormat="1">
      <c r="A13" s="329" t="s">
        <v>59</v>
      </c>
      <c r="B13" s="209" t="s">
        <v>60</v>
      </c>
      <c r="C13" s="209" t="s">
        <v>659</v>
      </c>
      <c r="D13" s="209" t="s">
        <v>62</v>
      </c>
      <c r="E13" s="209" t="s">
        <v>63</v>
      </c>
      <c r="F13" s="209" t="s">
        <v>64</v>
      </c>
      <c r="G13" s="243" t="s">
        <v>65</v>
      </c>
      <c r="H13" s="342" t="s">
        <v>66</v>
      </c>
      <c r="I13" s="343"/>
      <c r="J13" s="344"/>
      <c r="K13" s="209" t="s">
        <v>30</v>
      </c>
      <c r="L13" s="328" t="s">
        <v>67</v>
      </c>
      <c r="N13" s="329" t="s">
        <v>59</v>
      </c>
      <c r="O13" s="209" t="s">
        <v>60</v>
      </c>
      <c r="P13" s="209" t="s">
        <v>659</v>
      </c>
      <c r="Q13" s="209" t="s">
        <v>62</v>
      </c>
      <c r="R13" s="209" t="s">
        <v>63</v>
      </c>
      <c r="S13" s="209" t="s">
        <v>64</v>
      </c>
      <c r="T13" s="243" t="s">
        <v>65</v>
      </c>
      <c r="U13" s="342" t="s">
        <v>66</v>
      </c>
      <c r="V13" s="343"/>
      <c r="W13" s="344"/>
      <c r="X13" s="209" t="s">
        <v>30</v>
      </c>
      <c r="Y13" s="328" t="s">
        <v>67</v>
      </c>
      <c r="AB13" s="329" t="s">
        <v>59</v>
      </c>
      <c r="AC13" s="209" t="s">
        <v>60</v>
      </c>
      <c r="AD13" s="209" t="s">
        <v>659</v>
      </c>
      <c r="AE13" s="209" t="s">
        <v>62</v>
      </c>
      <c r="AF13" s="209" t="s">
        <v>63</v>
      </c>
      <c r="AG13" s="209" t="s">
        <v>64</v>
      </c>
      <c r="AH13" s="243" t="s">
        <v>65</v>
      </c>
      <c r="AI13" s="342" t="s">
        <v>66</v>
      </c>
      <c r="AJ13" s="343"/>
      <c r="AK13" s="344"/>
      <c r="AL13" s="209" t="s">
        <v>30</v>
      </c>
      <c r="AM13" s="328" t="s">
        <v>67</v>
      </c>
      <c r="AO13" s="329" t="s">
        <v>59</v>
      </c>
      <c r="AP13" s="209" t="s">
        <v>60</v>
      </c>
      <c r="AQ13" s="209" t="s">
        <v>659</v>
      </c>
      <c r="AR13" s="209" t="s">
        <v>62</v>
      </c>
      <c r="AS13" s="209" t="s">
        <v>63</v>
      </c>
      <c r="AT13" s="209" t="s">
        <v>64</v>
      </c>
      <c r="AU13" s="243" t="s">
        <v>65</v>
      </c>
      <c r="AV13" s="342" t="s">
        <v>66</v>
      </c>
      <c r="AW13" s="343"/>
      <c r="AX13" s="344"/>
      <c r="AY13" s="209" t="s">
        <v>30</v>
      </c>
      <c r="AZ13" s="328" t="s">
        <v>67</v>
      </c>
      <c r="BB13" s="329" t="s">
        <v>59</v>
      </c>
      <c r="BC13" s="209" t="s">
        <v>60</v>
      </c>
      <c r="BD13" s="209" t="s">
        <v>659</v>
      </c>
      <c r="BE13" s="209" t="s">
        <v>62</v>
      </c>
      <c r="BF13" s="209" t="s">
        <v>63</v>
      </c>
      <c r="BG13" s="209" t="s">
        <v>64</v>
      </c>
      <c r="BH13" s="243" t="s">
        <v>65</v>
      </c>
      <c r="BI13" s="342" t="s">
        <v>66</v>
      </c>
      <c r="BJ13" s="343"/>
      <c r="BK13" s="344"/>
      <c r="BL13" s="209" t="s">
        <v>30</v>
      </c>
      <c r="BM13" s="328" t="s">
        <v>67</v>
      </c>
    </row>
    <row r="14" spans="1:65" s="103" customFormat="1" ht="60">
      <c r="A14" s="329"/>
      <c r="B14" s="209"/>
      <c r="C14" s="209"/>
      <c r="D14" s="209"/>
      <c r="E14" s="209"/>
      <c r="F14" s="209"/>
      <c r="G14" s="243"/>
      <c r="H14" s="16" t="s">
        <v>68</v>
      </c>
      <c r="I14" s="62" t="s">
        <v>69</v>
      </c>
      <c r="J14" s="16" t="s">
        <v>70</v>
      </c>
      <c r="K14" s="209"/>
      <c r="L14" s="328"/>
      <c r="N14" s="329"/>
      <c r="O14" s="209"/>
      <c r="P14" s="209"/>
      <c r="Q14" s="209"/>
      <c r="R14" s="209"/>
      <c r="S14" s="209"/>
      <c r="T14" s="243"/>
      <c r="U14" s="16" t="s">
        <v>68</v>
      </c>
      <c r="V14" s="62" t="s">
        <v>69</v>
      </c>
      <c r="W14" s="16" t="s">
        <v>70</v>
      </c>
      <c r="X14" s="209"/>
      <c r="Y14" s="328"/>
      <c r="AB14" s="329"/>
      <c r="AC14" s="209"/>
      <c r="AD14" s="209"/>
      <c r="AE14" s="209"/>
      <c r="AF14" s="209"/>
      <c r="AG14" s="209"/>
      <c r="AH14" s="243"/>
      <c r="AI14" s="16" t="s">
        <v>68</v>
      </c>
      <c r="AJ14" s="62" t="s">
        <v>69</v>
      </c>
      <c r="AK14" s="16" t="s">
        <v>70</v>
      </c>
      <c r="AL14" s="209"/>
      <c r="AM14" s="328"/>
      <c r="AO14" s="329"/>
      <c r="AP14" s="209"/>
      <c r="AQ14" s="209"/>
      <c r="AR14" s="209"/>
      <c r="AS14" s="209"/>
      <c r="AT14" s="209"/>
      <c r="AU14" s="243"/>
      <c r="AV14" s="16" t="s">
        <v>68</v>
      </c>
      <c r="AW14" s="62" t="s">
        <v>69</v>
      </c>
      <c r="AX14" s="16" t="s">
        <v>70</v>
      </c>
      <c r="AY14" s="209"/>
      <c r="AZ14" s="328"/>
      <c r="BB14" s="329"/>
      <c r="BC14" s="209"/>
      <c r="BD14" s="209"/>
      <c r="BE14" s="209"/>
      <c r="BF14" s="209"/>
      <c r="BG14" s="209"/>
      <c r="BH14" s="243"/>
      <c r="BI14" s="16" t="s">
        <v>68</v>
      </c>
      <c r="BJ14" s="62" t="s">
        <v>69</v>
      </c>
      <c r="BK14" s="16" t="s">
        <v>70</v>
      </c>
      <c r="BL14" s="209"/>
      <c r="BM14" s="328"/>
    </row>
    <row r="15" spans="1:65" s="104" customFormat="1" ht="33.75" customHeight="1">
      <c r="A15" s="85">
        <v>1</v>
      </c>
      <c r="B15" s="85" t="s">
        <v>71</v>
      </c>
      <c r="C15" s="85">
        <v>140</v>
      </c>
      <c r="D15" s="105" t="s">
        <v>217</v>
      </c>
      <c r="E15" s="105" t="s">
        <v>127</v>
      </c>
      <c r="F15" s="85">
        <v>95</v>
      </c>
      <c r="G15" s="85" t="s">
        <v>106</v>
      </c>
      <c r="H15" s="85">
        <v>3.5</v>
      </c>
      <c r="I15" s="85">
        <v>1</v>
      </c>
      <c r="J15" s="85">
        <v>4.5</v>
      </c>
      <c r="K15" s="85" t="s">
        <v>114</v>
      </c>
      <c r="L15" s="107"/>
      <c r="N15" s="85">
        <v>1</v>
      </c>
      <c r="O15" s="85" t="s">
        <v>71</v>
      </c>
      <c r="P15" s="85">
        <v>63</v>
      </c>
      <c r="Q15" s="105" t="s">
        <v>377</v>
      </c>
      <c r="R15" s="105" t="s">
        <v>313</v>
      </c>
      <c r="S15" s="85">
        <v>35.700000000000003</v>
      </c>
      <c r="T15" s="85" t="s">
        <v>285</v>
      </c>
      <c r="U15" s="85">
        <v>3.3</v>
      </c>
      <c r="V15" s="85">
        <v>1</v>
      </c>
      <c r="W15" s="85">
        <v>4.3</v>
      </c>
      <c r="X15" s="85" t="s">
        <v>114</v>
      </c>
      <c r="Y15" s="107"/>
      <c r="AB15" s="85">
        <v>1</v>
      </c>
      <c r="AC15" s="85" t="s">
        <v>71</v>
      </c>
      <c r="AD15" s="85">
        <v>63</v>
      </c>
      <c r="AE15" s="105" t="s">
        <v>528</v>
      </c>
      <c r="AF15" s="105" t="s">
        <v>660</v>
      </c>
      <c r="AG15" s="85">
        <v>36</v>
      </c>
      <c r="AH15" s="85" t="s">
        <v>106</v>
      </c>
      <c r="AI15" s="85">
        <v>3</v>
      </c>
      <c r="AJ15" s="85">
        <v>1</v>
      </c>
      <c r="AK15" s="85">
        <v>4</v>
      </c>
      <c r="AL15" s="85" t="s">
        <v>114</v>
      </c>
      <c r="AM15" s="107"/>
      <c r="AO15" s="85">
        <v>1</v>
      </c>
      <c r="AP15" s="85" t="s">
        <v>71</v>
      </c>
      <c r="AQ15" s="85">
        <v>63</v>
      </c>
      <c r="AR15" s="105" t="s">
        <v>286</v>
      </c>
      <c r="AS15" s="105" t="s">
        <v>661</v>
      </c>
      <c r="AT15" s="85">
        <v>31.3</v>
      </c>
      <c r="AU15" s="85" t="s">
        <v>276</v>
      </c>
      <c r="AV15" s="85">
        <v>3.5</v>
      </c>
      <c r="AW15" s="85">
        <v>1</v>
      </c>
      <c r="AX15" s="85">
        <v>4.5</v>
      </c>
      <c r="AY15" s="85" t="s">
        <v>114</v>
      </c>
      <c r="AZ15" s="107"/>
      <c r="BB15" s="85">
        <v>1</v>
      </c>
      <c r="BC15" s="85" t="s">
        <v>71</v>
      </c>
      <c r="BD15" s="85">
        <v>63</v>
      </c>
      <c r="BE15" s="85" t="s">
        <v>662</v>
      </c>
      <c r="BF15" s="85" t="s">
        <v>663</v>
      </c>
      <c r="BG15" s="85">
        <v>56.6</v>
      </c>
      <c r="BH15" s="85" t="s">
        <v>106</v>
      </c>
      <c r="BI15" s="85">
        <v>3.4</v>
      </c>
      <c r="BJ15" s="85">
        <v>1</v>
      </c>
      <c r="BK15" s="85">
        <v>4.4000000000000004</v>
      </c>
      <c r="BL15" s="85" t="s">
        <v>114</v>
      </c>
      <c r="BM15" s="107"/>
    </row>
    <row r="16" spans="1:65" s="104" customFormat="1" ht="33.75" customHeight="1">
      <c r="A16" s="85">
        <f>1+A15</f>
        <v>2</v>
      </c>
      <c r="B16" s="85" t="s">
        <v>71</v>
      </c>
      <c r="C16" s="85">
        <v>140</v>
      </c>
      <c r="D16" s="105" t="s">
        <v>127</v>
      </c>
      <c r="E16" s="105" t="s">
        <v>153</v>
      </c>
      <c r="F16" s="85">
        <v>58.6</v>
      </c>
      <c r="G16" s="85" t="s">
        <v>106</v>
      </c>
      <c r="H16" s="85">
        <v>3.5</v>
      </c>
      <c r="I16" s="85">
        <v>1</v>
      </c>
      <c r="J16" s="85">
        <v>4.5</v>
      </c>
      <c r="K16" s="85" t="s">
        <v>114</v>
      </c>
      <c r="L16" s="107"/>
      <c r="N16" s="85">
        <f t="shared" ref="N16:N47" si="0">1+N15</f>
        <v>2</v>
      </c>
      <c r="O16" s="85" t="s">
        <v>71</v>
      </c>
      <c r="P16" s="85">
        <v>63</v>
      </c>
      <c r="Q16" s="105" t="s">
        <v>409</v>
      </c>
      <c r="R16" s="105" t="s">
        <v>478</v>
      </c>
      <c r="S16" s="85">
        <v>41.5</v>
      </c>
      <c r="T16" s="85" t="s">
        <v>285</v>
      </c>
      <c r="U16" s="85">
        <v>3.3</v>
      </c>
      <c r="V16" s="85">
        <v>1</v>
      </c>
      <c r="W16" s="85">
        <v>4.3</v>
      </c>
      <c r="X16" s="85" t="s">
        <v>114</v>
      </c>
      <c r="Y16" s="107"/>
      <c r="AB16" s="85">
        <f t="shared" ref="AB16:AB47" si="1">1+AB15</f>
        <v>2</v>
      </c>
      <c r="AC16" s="85" t="s">
        <v>71</v>
      </c>
      <c r="AD16" s="85">
        <v>63</v>
      </c>
      <c r="AE16" s="105" t="s">
        <v>660</v>
      </c>
      <c r="AF16" s="105" t="s">
        <v>664</v>
      </c>
      <c r="AG16" s="85">
        <v>27</v>
      </c>
      <c r="AH16" s="85" t="s">
        <v>106</v>
      </c>
      <c r="AI16" s="85">
        <v>3</v>
      </c>
      <c r="AJ16" s="85">
        <v>1</v>
      </c>
      <c r="AK16" s="85">
        <v>4</v>
      </c>
      <c r="AL16" s="85" t="s">
        <v>114</v>
      </c>
      <c r="AM16" s="107"/>
      <c r="AO16" s="85">
        <f t="shared" ref="AO16:AO49" si="2">1+AO15</f>
        <v>2</v>
      </c>
      <c r="AP16" s="85" t="s">
        <v>71</v>
      </c>
      <c r="AQ16" s="85">
        <v>125</v>
      </c>
      <c r="AR16" s="105" t="s">
        <v>148</v>
      </c>
      <c r="AS16" s="105" t="s">
        <v>665</v>
      </c>
      <c r="AT16" s="85">
        <v>65.7</v>
      </c>
      <c r="AU16" s="85" t="s">
        <v>276</v>
      </c>
      <c r="AV16" s="85">
        <v>3.5</v>
      </c>
      <c r="AW16" s="85">
        <v>1</v>
      </c>
      <c r="AX16" s="85">
        <v>4.5</v>
      </c>
      <c r="AY16" s="85" t="s">
        <v>114</v>
      </c>
      <c r="AZ16" s="107"/>
      <c r="BB16" s="85">
        <f t="shared" ref="BB16:BB24" si="3">1+BB15</f>
        <v>2</v>
      </c>
      <c r="BC16" s="85" t="s">
        <v>71</v>
      </c>
      <c r="BD16" s="85">
        <v>63</v>
      </c>
      <c r="BE16" s="85" t="s">
        <v>205</v>
      </c>
      <c r="BF16" s="85" t="s">
        <v>241</v>
      </c>
      <c r="BG16" s="85">
        <v>33.799999999999997</v>
      </c>
      <c r="BH16" s="85" t="s">
        <v>106</v>
      </c>
      <c r="BI16" s="85">
        <v>3.4</v>
      </c>
      <c r="BJ16" s="85">
        <v>1</v>
      </c>
      <c r="BK16" s="85">
        <v>4.4000000000000004</v>
      </c>
      <c r="BL16" s="85" t="s">
        <v>114</v>
      </c>
      <c r="BM16" s="107"/>
    </row>
    <row r="17" spans="1:65" s="104" customFormat="1" ht="33.75" customHeight="1">
      <c r="A17" s="85">
        <f t="shared" ref="A17:A81" si="4">1+A16</f>
        <v>3</v>
      </c>
      <c r="B17" s="85" t="s">
        <v>71</v>
      </c>
      <c r="C17" s="85">
        <v>75</v>
      </c>
      <c r="D17" s="105" t="s">
        <v>153</v>
      </c>
      <c r="E17" s="105" t="s">
        <v>180</v>
      </c>
      <c r="F17" s="85">
        <v>111.4</v>
      </c>
      <c r="G17" s="85" t="s">
        <v>106</v>
      </c>
      <c r="H17" s="85">
        <v>3.5</v>
      </c>
      <c r="I17" s="85">
        <v>1</v>
      </c>
      <c r="J17" s="85">
        <v>4.5</v>
      </c>
      <c r="K17" s="85" t="s">
        <v>114</v>
      </c>
      <c r="L17" s="107"/>
      <c r="N17" s="85">
        <f t="shared" si="0"/>
        <v>3</v>
      </c>
      <c r="O17" s="85" t="s">
        <v>71</v>
      </c>
      <c r="P17" s="85">
        <v>63</v>
      </c>
      <c r="Q17" s="105" t="s">
        <v>478</v>
      </c>
      <c r="R17" s="105" t="s">
        <v>430</v>
      </c>
      <c r="S17" s="85">
        <v>40.5</v>
      </c>
      <c r="T17" s="85" t="s">
        <v>285</v>
      </c>
      <c r="U17" s="85">
        <v>3.3</v>
      </c>
      <c r="V17" s="85">
        <v>1</v>
      </c>
      <c r="W17" s="85">
        <v>4.3</v>
      </c>
      <c r="X17" s="85" t="s">
        <v>114</v>
      </c>
      <c r="Y17" s="107"/>
      <c r="AB17" s="85">
        <f t="shared" si="1"/>
        <v>3</v>
      </c>
      <c r="AC17" s="85" t="s">
        <v>71</v>
      </c>
      <c r="AD17" s="85">
        <v>63</v>
      </c>
      <c r="AE17" s="105" t="s">
        <v>664</v>
      </c>
      <c r="AF17" s="105" t="s">
        <v>666</v>
      </c>
      <c r="AG17" s="85">
        <v>77.099999999999994</v>
      </c>
      <c r="AH17" s="85" t="s">
        <v>106</v>
      </c>
      <c r="AI17" s="85">
        <v>3</v>
      </c>
      <c r="AJ17" s="85">
        <v>1</v>
      </c>
      <c r="AK17" s="85">
        <v>4</v>
      </c>
      <c r="AL17" s="85" t="s">
        <v>114</v>
      </c>
      <c r="AM17" s="107"/>
      <c r="AO17" s="85">
        <f t="shared" si="2"/>
        <v>3</v>
      </c>
      <c r="AP17" s="85" t="s">
        <v>71</v>
      </c>
      <c r="AQ17" s="85">
        <v>63</v>
      </c>
      <c r="AR17" s="105" t="s">
        <v>665</v>
      </c>
      <c r="AS17" s="105" t="s">
        <v>381</v>
      </c>
      <c r="AT17" s="85">
        <v>19.100000000000001</v>
      </c>
      <c r="AU17" s="85" t="s">
        <v>276</v>
      </c>
      <c r="AV17" s="85">
        <v>3.5</v>
      </c>
      <c r="AW17" s="85">
        <v>1</v>
      </c>
      <c r="AX17" s="85">
        <v>4.5</v>
      </c>
      <c r="AY17" s="85" t="s">
        <v>114</v>
      </c>
      <c r="AZ17" s="107"/>
      <c r="BB17" s="85">
        <f t="shared" si="3"/>
        <v>3</v>
      </c>
      <c r="BC17" s="85" t="s">
        <v>71</v>
      </c>
      <c r="BD17" s="85">
        <v>63</v>
      </c>
      <c r="BE17" s="105" t="s">
        <v>237</v>
      </c>
      <c r="BF17" s="105" t="s">
        <v>148</v>
      </c>
      <c r="BG17" s="85">
        <v>18.7</v>
      </c>
      <c r="BH17" s="85" t="s">
        <v>106</v>
      </c>
      <c r="BI17" s="85">
        <v>3.4</v>
      </c>
      <c r="BJ17" s="85">
        <v>1</v>
      </c>
      <c r="BK17" s="85">
        <v>4.4000000000000004</v>
      </c>
      <c r="BL17" s="85" t="s">
        <v>114</v>
      </c>
      <c r="BM17" s="107"/>
    </row>
    <row r="18" spans="1:65" s="104" customFormat="1" ht="33.75" customHeight="1">
      <c r="A18" s="85">
        <f t="shared" si="4"/>
        <v>4</v>
      </c>
      <c r="B18" s="85" t="s">
        <v>71</v>
      </c>
      <c r="C18" s="85">
        <v>63</v>
      </c>
      <c r="D18" s="105" t="s">
        <v>230</v>
      </c>
      <c r="E18" s="105" t="s">
        <v>213</v>
      </c>
      <c r="F18" s="85">
        <v>118</v>
      </c>
      <c r="G18" s="85" t="s">
        <v>106</v>
      </c>
      <c r="H18" s="85">
        <v>3.5</v>
      </c>
      <c r="I18" s="85">
        <v>1</v>
      </c>
      <c r="J18" s="85">
        <v>4.5</v>
      </c>
      <c r="K18" s="85" t="s">
        <v>114</v>
      </c>
      <c r="L18" s="107"/>
      <c r="N18" s="85">
        <f t="shared" si="0"/>
        <v>4</v>
      </c>
      <c r="O18" s="85" t="s">
        <v>71</v>
      </c>
      <c r="P18" s="85">
        <v>63</v>
      </c>
      <c r="Q18" s="105" t="s">
        <v>409</v>
      </c>
      <c r="R18" s="105" t="s">
        <v>509</v>
      </c>
      <c r="S18" s="85">
        <v>229.8</v>
      </c>
      <c r="T18" s="85" t="s">
        <v>285</v>
      </c>
      <c r="U18" s="85">
        <v>3.3</v>
      </c>
      <c r="V18" s="85">
        <v>1</v>
      </c>
      <c r="W18" s="85">
        <v>4.3</v>
      </c>
      <c r="X18" s="85" t="s">
        <v>114</v>
      </c>
      <c r="Y18" s="107"/>
      <c r="AB18" s="85">
        <f t="shared" si="1"/>
        <v>4</v>
      </c>
      <c r="AC18" s="85" t="s">
        <v>71</v>
      </c>
      <c r="AD18" s="85">
        <v>63</v>
      </c>
      <c r="AE18" s="105" t="s">
        <v>667</v>
      </c>
      <c r="AF18" s="105" t="s">
        <v>664</v>
      </c>
      <c r="AG18" s="85">
        <v>82</v>
      </c>
      <c r="AH18" s="85" t="s">
        <v>106</v>
      </c>
      <c r="AI18" s="85">
        <v>3</v>
      </c>
      <c r="AJ18" s="85">
        <v>1</v>
      </c>
      <c r="AK18" s="85">
        <v>4</v>
      </c>
      <c r="AL18" s="85" t="s">
        <v>114</v>
      </c>
      <c r="AM18" s="107"/>
      <c r="AO18" s="85">
        <f t="shared" si="2"/>
        <v>4</v>
      </c>
      <c r="AP18" s="85" t="s">
        <v>71</v>
      </c>
      <c r="AQ18" s="85">
        <v>125</v>
      </c>
      <c r="AR18" s="105" t="s">
        <v>665</v>
      </c>
      <c r="AS18" s="105" t="s">
        <v>381</v>
      </c>
      <c r="AT18" s="85">
        <v>73.2</v>
      </c>
      <c r="AU18" s="85" t="s">
        <v>276</v>
      </c>
      <c r="AV18" s="85">
        <v>3.5</v>
      </c>
      <c r="AW18" s="85">
        <v>1</v>
      </c>
      <c r="AX18" s="85">
        <v>4.5</v>
      </c>
      <c r="AY18" s="85" t="s">
        <v>114</v>
      </c>
      <c r="AZ18" s="107"/>
      <c r="BB18" s="85">
        <f t="shared" si="3"/>
        <v>4</v>
      </c>
      <c r="BC18" s="85" t="s">
        <v>71</v>
      </c>
      <c r="BD18" s="85">
        <v>63</v>
      </c>
      <c r="BE18" s="105" t="s">
        <v>668</v>
      </c>
      <c r="BF18" s="105" t="s">
        <v>615</v>
      </c>
      <c r="BG18" s="85">
        <v>56.6</v>
      </c>
      <c r="BH18" s="85" t="s">
        <v>106</v>
      </c>
      <c r="BI18" s="85">
        <v>3.4</v>
      </c>
      <c r="BJ18" s="85">
        <v>1</v>
      </c>
      <c r="BK18" s="85">
        <v>4.4000000000000004</v>
      </c>
      <c r="BL18" s="85" t="s">
        <v>114</v>
      </c>
      <c r="BM18" s="107"/>
    </row>
    <row r="19" spans="1:65" s="104" customFormat="1" ht="33.75" customHeight="1">
      <c r="A19" s="85">
        <f t="shared" si="4"/>
        <v>5</v>
      </c>
      <c r="B19" s="85" t="s">
        <v>71</v>
      </c>
      <c r="C19" s="85">
        <v>63</v>
      </c>
      <c r="D19" s="105" t="s">
        <v>153</v>
      </c>
      <c r="E19" s="105" t="s">
        <v>230</v>
      </c>
      <c r="F19" s="85">
        <v>178.5</v>
      </c>
      <c r="G19" s="85" t="s">
        <v>106</v>
      </c>
      <c r="H19" s="85">
        <v>3.5</v>
      </c>
      <c r="I19" s="85">
        <v>1</v>
      </c>
      <c r="J19" s="85">
        <v>4.5</v>
      </c>
      <c r="K19" s="85" t="s">
        <v>114</v>
      </c>
      <c r="L19" s="107"/>
      <c r="N19" s="85">
        <f t="shared" si="0"/>
        <v>5</v>
      </c>
      <c r="O19" s="85" t="s">
        <v>71</v>
      </c>
      <c r="P19" s="85">
        <v>63</v>
      </c>
      <c r="Q19" s="105" t="s">
        <v>509</v>
      </c>
      <c r="R19" s="105" t="s">
        <v>589</v>
      </c>
      <c r="S19" s="85">
        <v>307.5</v>
      </c>
      <c r="T19" s="85" t="s">
        <v>285</v>
      </c>
      <c r="U19" s="85">
        <v>3.3</v>
      </c>
      <c r="V19" s="85">
        <v>1</v>
      </c>
      <c r="W19" s="85">
        <v>4.3</v>
      </c>
      <c r="X19" s="85" t="s">
        <v>114</v>
      </c>
      <c r="Y19" s="107"/>
      <c r="AB19" s="85">
        <f t="shared" si="1"/>
        <v>5</v>
      </c>
      <c r="AC19" s="85" t="s">
        <v>71</v>
      </c>
      <c r="AD19" s="85">
        <v>63</v>
      </c>
      <c r="AE19" s="105" t="s">
        <v>669</v>
      </c>
      <c r="AF19" s="105" t="s">
        <v>670</v>
      </c>
      <c r="AG19" s="85">
        <v>120.4</v>
      </c>
      <c r="AH19" s="85" t="s">
        <v>106</v>
      </c>
      <c r="AI19" s="85">
        <v>3</v>
      </c>
      <c r="AJ19" s="85">
        <v>1</v>
      </c>
      <c r="AK19" s="85">
        <v>4</v>
      </c>
      <c r="AL19" s="85" t="s">
        <v>114</v>
      </c>
      <c r="AM19" s="107"/>
      <c r="AO19" s="85">
        <f t="shared" si="2"/>
        <v>5</v>
      </c>
      <c r="AP19" s="85" t="s">
        <v>71</v>
      </c>
      <c r="AQ19" s="85">
        <v>110</v>
      </c>
      <c r="AR19" s="105" t="s">
        <v>148</v>
      </c>
      <c r="AS19" s="105" t="s">
        <v>190</v>
      </c>
      <c r="AT19" s="85">
        <v>134.4</v>
      </c>
      <c r="AU19" s="85" t="s">
        <v>276</v>
      </c>
      <c r="AV19" s="85">
        <v>3.5</v>
      </c>
      <c r="AW19" s="85">
        <v>1</v>
      </c>
      <c r="AX19" s="85">
        <v>4.5</v>
      </c>
      <c r="AY19" s="85" t="s">
        <v>114</v>
      </c>
      <c r="AZ19" s="107"/>
      <c r="BB19" s="85">
        <f t="shared" si="3"/>
        <v>5</v>
      </c>
      <c r="BC19" s="85" t="s">
        <v>71</v>
      </c>
      <c r="BD19" s="85">
        <v>140</v>
      </c>
      <c r="BE19" s="105" t="s">
        <v>237</v>
      </c>
      <c r="BF19" s="105" t="s">
        <v>148</v>
      </c>
      <c r="BG19" s="85">
        <v>155</v>
      </c>
      <c r="BH19" s="85" t="s">
        <v>106</v>
      </c>
      <c r="BI19" s="85">
        <v>3.4</v>
      </c>
      <c r="BJ19" s="85">
        <v>1</v>
      </c>
      <c r="BK19" s="85">
        <v>4.4000000000000004</v>
      </c>
      <c r="BL19" s="85" t="s">
        <v>114</v>
      </c>
      <c r="BM19" s="107"/>
    </row>
    <row r="20" spans="1:65" s="104" customFormat="1" ht="33.75" customHeight="1">
      <c r="A20" s="85">
        <f t="shared" si="4"/>
        <v>6</v>
      </c>
      <c r="B20" s="85" t="s">
        <v>71</v>
      </c>
      <c r="C20" s="85">
        <v>63</v>
      </c>
      <c r="D20" s="105" t="s">
        <v>213</v>
      </c>
      <c r="E20" s="105" t="s">
        <v>244</v>
      </c>
      <c r="F20" s="85">
        <v>188</v>
      </c>
      <c r="G20" s="85" t="s">
        <v>106</v>
      </c>
      <c r="H20" s="85">
        <v>3.5</v>
      </c>
      <c r="I20" s="85">
        <v>1</v>
      </c>
      <c r="J20" s="85">
        <v>4.5</v>
      </c>
      <c r="K20" s="85" t="s">
        <v>114</v>
      </c>
      <c r="L20" s="107"/>
      <c r="N20" s="85">
        <f t="shared" si="0"/>
        <v>6</v>
      </c>
      <c r="O20" s="85" t="s">
        <v>71</v>
      </c>
      <c r="P20" s="85">
        <v>63</v>
      </c>
      <c r="Q20" s="105" t="s">
        <v>509</v>
      </c>
      <c r="R20" s="105" t="s">
        <v>671</v>
      </c>
      <c r="S20" s="85">
        <v>147.6</v>
      </c>
      <c r="T20" s="85" t="s">
        <v>285</v>
      </c>
      <c r="U20" s="85">
        <v>3.3</v>
      </c>
      <c r="V20" s="85">
        <v>1</v>
      </c>
      <c r="W20" s="85">
        <v>4.3</v>
      </c>
      <c r="X20" s="85" t="s">
        <v>114</v>
      </c>
      <c r="Y20" s="107"/>
      <c r="AB20" s="85">
        <f t="shared" si="1"/>
        <v>6</v>
      </c>
      <c r="AC20" s="85" t="s">
        <v>71</v>
      </c>
      <c r="AD20" s="85">
        <v>63</v>
      </c>
      <c r="AE20" s="105" t="s">
        <v>670</v>
      </c>
      <c r="AF20" s="105" t="s">
        <v>672</v>
      </c>
      <c r="AG20" s="85">
        <v>114.1</v>
      </c>
      <c r="AH20" s="85" t="s">
        <v>106</v>
      </c>
      <c r="AI20" s="85">
        <v>3</v>
      </c>
      <c r="AJ20" s="85">
        <v>1</v>
      </c>
      <c r="AK20" s="85">
        <v>4</v>
      </c>
      <c r="AL20" s="85" t="s">
        <v>114</v>
      </c>
      <c r="AM20" s="107"/>
      <c r="AO20" s="85">
        <f t="shared" si="2"/>
        <v>6</v>
      </c>
      <c r="AP20" s="85" t="s">
        <v>71</v>
      </c>
      <c r="AQ20" s="85">
        <v>110</v>
      </c>
      <c r="AR20" s="105" t="s">
        <v>190</v>
      </c>
      <c r="AS20" s="105" t="s">
        <v>168</v>
      </c>
      <c r="AT20" s="85">
        <v>50.4</v>
      </c>
      <c r="AU20" s="85" t="s">
        <v>276</v>
      </c>
      <c r="AV20" s="85">
        <v>3.5</v>
      </c>
      <c r="AW20" s="85">
        <v>1</v>
      </c>
      <c r="AX20" s="85">
        <v>4.5</v>
      </c>
      <c r="AY20" s="85" t="s">
        <v>114</v>
      </c>
      <c r="AZ20" s="107"/>
      <c r="BB20" s="85">
        <f t="shared" si="3"/>
        <v>6</v>
      </c>
      <c r="BC20" s="85" t="s">
        <v>71</v>
      </c>
      <c r="BD20" s="85">
        <v>63</v>
      </c>
      <c r="BE20" s="105" t="s">
        <v>673</v>
      </c>
      <c r="BF20" s="105" t="s">
        <v>674</v>
      </c>
      <c r="BG20" s="85">
        <v>278.39999999999998</v>
      </c>
      <c r="BH20" s="85" t="s">
        <v>106</v>
      </c>
      <c r="BI20" s="85">
        <v>3.4</v>
      </c>
      <c r="BJ20" s="85">
        <v>1</v>
      </c>
      <c r="BK20" s="85">
        <v>4.4000000000000004</v>
      </c>
      <c r="BL20" s="85" t="s">
        <v>114</v>
      </c>
      <c r="BM20" s="107"/>
    </row>
    <row r="21" spans="1:65" s="104" customFormat="1" ht="33.75" customHeight="1">
      <c r="A21" s="85">
        <f t="shared" si="4"/>
        <v>7</v>
      </c>
      <c r="B21" s="85" t="s">
        <v>71</v>
      </c>
      <c r="C21" s="85">
        <v>63</v>
      </c>
      <c r="D21" s="105" t="s">
        <v>244</v>
      </c>
      <c r="E21" s="105" t="s">
        <v>445</v>
      </c>
      <c r="F21" s="85">
        <v>8</v>
      </c>
      <c r="G21" s="85" t="s">
        <v>106</v>
      </c>
      <c r="H21" s="85">
        <v>3.5</v>
      </c>
      <c r="I21" s="85">
        <v>1</v>
      </c>
      <c r="J21" s="85">
        <v>4.5</v>
      </c>
      <c r="K21" s="85" t="s">
        <v>114</v>
      </c>
      <c r="L21" s="107"/>
      <c r="N21" s="85">
        <f t="shared" si="0"/>
        <v>7</v>
      </c>
      <c r="O21" s="85" t="s">
        <v>71</v>
      </c>
      <c r="P21" s="85">
        <v>63</v>
      </c>
      <c r="Q21" s="105" t="s">
        <v>671</v>
      </c>
      <c r="R21" s="105" t="s">
        <v>675</v>
      </c>
      <c r="S21" s="85">
        <v>51.5</v>
      </c>
      <c r="T21" s="85" t="s">
        <v>285</v>
      </c>
      <c r="U21" s="85">
        <v>3.3</v>
      </c>
      <c r="V21" s="85">
        <v>1</v>
      </c>
      <c r="W21" s="85">
        <v>4.3</v>
      </c>
      <c r="X21" s="85" t="s">
        <v>114</v>
      </c>
      <c r="Y21" s="107"/>
      <c r="AB21" s="85">
        <f t="shared" si="1"/>
        <v>7</v>
      </c>
      <c r="AC21" s="85" t="s">
        <v>71</v>
      </c>
      <c r="AD21" s="85">
        <v>63</v>
      </c>
      <c r="AE21" s="105" t="s">
        <v>670</v>
      </c>
      <c r="AF21" s="105" t="s">
        <v>676</v>
      </c>
      <c r="AG21" s="85">
        <v>117.1</v>
      </c>
      <c r="AH21" s="85" t="s">
        <v>106</v>
      </c>
      <c r="AI21" s="85">
        <v>3</v>
      </c>
      <c r="AJ21" s="85">
        <v>1</v>
      </c>
      <c r="AK21" s="85">
        <v>4</v>
      </c>
      <c r="AL21" s="85" t="s">
        <v>114</v>
      </c>
      <c r="AM21" s="107"/>
      <c r="AO21" s="85">
        <f t="shared" si="2"/>
        <v>7</v>
      </c>
      <c r="AP21" s="85" t="s">
        <v>71</v>
      </c>
      <c r="AQ21" s="85">
        <v>63</v>
      </c>
      <c r="AR21" s="105" t="s">
        <v>168</v>
      </c>
      <c r="AS21" s="105" t="s">
        <v>677</v>
      </c>
      <c r="AT21" s="85">
        <v>141.9</v>
      </c>
      <c r="AU21" s="85" t="s">
        <v>276</v>
      </c>
      <c r="AV21" s="85">
        <v>3.5</v>
      </c>
      <c r="AW21" s="85">
        <v>1</v>
      </c>
      <c r="AX21" s="85">
        <v>4.5</v>
      </c>
      <c r="AY21" s="85" t="s">
        <v>114</v>
      </c>
      <c r="AZ21" s="107"/>
      <c r="BB21" s="85">
        <f t="shared" si="3"/>
        <v>7</v>
      </c>
      <c r="BC21" s="85" t="s">
        <v>71</v>
      </c>
      <c r="BD21" s="85">
        <v>63</v>
      </c>
      <c r="BE21" s="105" t="s">
        <v>167</v>
      </c>
      <c r="BF21" s="105" t="s">
        <v>229</v>
      </c>
      <c r="BG21" s="85">
        <v>47.3</v>
      </c>
      <c r="BH21" s="85" t="s">
        <v>106</v>
      </c>
      <c r="BI21" s="85">
        <v>3.4</v>
      </c>
      <c r="BJ21" s="85">
        <v>1</v>
      </c>
      <c r="BK21" s="85">
        <v>4.4000000000000004</v>
      </c>
      <c r="BL21" s="85" t="s">
        <v>114</v>
      </c>
      <c r="BM21" s="107"/>
    </row>
    <row r="22" spans="1:65" s="104" customFormat="1" ht="33.75" customHeight="1">
      <c r="A22" s="85">
        <f t="shared" si="4"/>
        <v>8</v>
      </c>
      <c r="B22" s="85" t="s">
        <v>71</v>
      </c>
      <c r="C22" s="85">
        <v>63</v>
      </c>
      <c r="D22" s="105" t="s">
        <v>230</v>
      </c>
      <c r="E22" s="105" t="s">
        <v>319</v>
      </c>
      <c r="F22" s="85">
        <v>2.1</v>
      </c>
      <c r="G22" s="85" t="s">
        <v>106</v>
      </c>
      <c r="H22" s="85">
        <v>3.5</v>
      </c>
      <c r="I22" s="85">
        <v>1</v>
      </c>
      <c r="J22" s="85">
        <v>4.5</v>
      </c>
      <c r="K22" s="85" t="s">
        <v>114</v>
      </c>
      <c r="L22" s="107"/>
      <c r="N22" s="85">
        <f t="shared" si="0"/>
        <v>8</v>
      </c>
      <c r="O22" s="85" t="s">
        <v>71</v>
      </c>
      <c r="P22" s="85">
        <v>63</v>
      </c>
      <c r="Q22" s="105" t="s">
        <v>671</v>
      </c>
      <c r="R22" s="105" t="s">
        <v>678</v>
      </c>
      <c r="S22" s="85">
        <f>67.6+7</f>
        <v>74.599999999999994</v>
      </c>
      <c r="T22" s="85" t="s">
        <v>285</v>
      </c>
      <c r="U22" s="85">
        <v>3.3</v>
      </c>
      <c r="V22" s="85">
        <v>1</v>
      </c>
      <c r="W22" s="85">
        <v>4.3</v>
      </c>
      <c r="X22" s="85" t="s">
        <v>114</v>
      </c>
      <c r="Y22" s="107"/>
      <c r="AB22" s="85">
        <f t="shared" si="1"/>
        <v>8</v>
      </c>
      <c r="AC22" s="85" t="s">
        <v>71</v>
      </c>
      <c r="AD22" s="85">
        <v>63</v>
      </c>
      <c r="AE22" s="105" t="s">
        <v>679</v>
      </c>
      <c r="AF22" s="105" t="s">
        <v>667</v>
      </c>
      <c r="AG22" s="85">
        <v>17.399999999999999</v>
      </c>
      <c r="AH22" s="85" t="s">
        <v>106</v>
      </c>
      <c r="AI22" s="85">
        <v>3</v>
      </c>
      <c r="AJ22" s="85">
        <v>1</v>
      </c>
      <c r="AK22" s="85">
        <v>4</v>
      </c>
      <c r="AL22" s="85" t="s">
        <v>114</v>
      </c>
      <c r="AM22" s="107"/>
      <c r="AO22" s="85">
        <f t="shared" si="2"/>
        <v>8</v>
      </c>
      <c r="AP22" s="85" t="s">
        <v>71</v>
      </c>
      <c r="AQ22" s="85">
        <v>63</v>
      </c>
      <c r="AR22" s="105" t="s">
        <v>677</v>
      </c>
      <c r="AS22" s="105" t="s">
        <v>680</v>
      </c>
      <c r="AT22" s="85">
        <v>18</v>
      </c>
      <c r="AU22" s="85" t="s">
        <v>276</v>
      </c>
      <c r="AV22" s="85">
        <v>3.5</v>
      </c>
      <c r="AW22" s="85">
        <v>1</v>
      </c>
      <c r="AX22" s="85">
        <v>4.5</v>
      </c>
      <c r="AY22" s="85" t="s">
        <v>114</v>
      </c>
      <c r="AZ22" s="107"/>
      <c r="BB22" s="85">
        <f t="shared" si="3"/>
        <v>8</v>
      </c>
      <c r="BC22" s="85" t="s">
        <v>71</v>
      </c>
      <c r="BD22" s="85">
        <v>63</v>
      </c>
      <c r="BE22" s="105" t="s">
        <v>667</v>
      </c>
      <c r="BF22" s="105" t="s">
        <v>681</v>
      </c>
      <c r="BG22" s="85">
        <v>27.6</v>
      </c>
      <c r="BH22" s="85" t="s">
        <v>106</v>
      </c>
      <c r="BI22" s="85">
        <v>3.4</v>
      </c>
      <c r="BJ22" s="85">
        <v>1</v>
      </c>
      <c r="BK22" s="85">
        <v>4.4000000000000004</v>
      </c>
      <c r="BL22" s="85" t="s">
        <v>114</v>
      </c>
      <c r="BM22" s="107"/>
    </row>
    <row r="23" spans="1:65" s="104" customFormat="1" ht="33.75" customHeight="1">
      <c r="A23" s="85">
        <f t="shared" si="4"/>
        <v>9</v>
      </c>
      <c r="B23" s="85" t="s">
        <v>71</v>
      </c>
      <c r="C23" s="85">
        <v>63</v>
      </c>
      <c r="D23" s="105" t="s">
        <v>319</v>
      </c>
      <c r="E23" s="105" t="s">
        <v>433</v>
      </c>
      <c r="F23" s="85">
        <v>120</v>
      </c>
      <c r="G23" s="85" t="s">
        <v>106</v>
      </c>
      <c r="H23" s="85">
        <v>3.5</v>
      </c>
      <c r="I23" s="85">
        <v>1</v>
      </c>
      <c r="J23" s="85">
        <v>4.5</v>
      </c>
      <c r="K23" s="85" t="s">
        <v>114</v>
      </c>
      <c r="L23" s="107"/>
      <c r="N23" s="85">
        <f t="shared" si="0"/>
        <v>9</v>
      </c>
      <c r="O23" s="85" t="s">
        <v>71</v>
      </c>
      <c r="P23" s="85">
        <v>63</v>
      </c>
      <c r="Q23" s="105" t="s">
        <v>621</v>
      </c>
      <c r="R23" s="105" t="s">
        <v>682</v>
      </c>
      <c r="S23" s="85">
        <v>287.5</v>
      </c>
      <c r="T23" s="85" t="s">
        <v>285</v>
      </c>
      <c r="U23" s="85">
        <v>3.3</v>
      </c>
      <c r="V23" s="85">
        <v>1</v>
      </c>
      <c r="W23" s="85">
        <v>4.3</v>
      </c>
      <c r="X23" s="85" t="s">
        <v>114</v>
      </c>
      <c r="Y23" s="107"/>
      <c r="AB23" s="85">
        <f t="shared" si="1"/>
        <v>9</v>
      </c>
      <c r="AC23" s="85" t="s">
        <v>71</v>
      </c>
      <c r="AD23" s="85">
        <v>63</v>
      </c>
      <c r="AE23" s="105" t="s">
        <v>679</v>
      </c>
      <c r="AF23" s="105" t="s">
        <v>683</v>
      </c>
      <c r="AG23" s="85">
        <v>84.4</v>
      </c>
      <c r="AH23" s="85" t="s">
        <v>106</v>
      </c>
      <c r="AI23" s="85">
        <v>3</v>
      </c>
      <c r="AJ23" s="85">
        <v>1</v>
      </c>
      <c r="AK23" s="85">
        <v>4</v>
      </c>
      <c r="AL23" s="85" t="s">
        <v>114</v>
      </c>
      <c r="AM23" s="107"/>
      <c r="AO23" s="85">
        <f t="shared" si="2"/>
        <v>9</v>
      </c>
      <c r="AP23" s="85" t="s">
        <v>71</v>
      </c>
      <c r="AQ23" s="85">
        <v>63</v>
      </c>
      <c r="AR23" s="105" t="s">
        <v>680</v>
      </c>
      <c r="AS23" s="105" t="s">
        <v>684</v>
      </c>
      <c r="AT23" s="85">
        <v>25.7</v>
      </c>
      <c r="AU23" s="85" t="s">
        <v>276</v>
      </c>
      <c r="AV23" s="85">
        <v>3.5</v>
      </c>
      <c r="AW23" s="85">
        <v>1</v>
      </c>
      <c r="AX23" s="85">
        <v>4.5</v>
      </c>
      <c r="AY23" s="85" t="s">
        <v>114</v>
      </c>
      <c r="AZ23" s="107"/>
      <c r="BB23" s="85">
        <f t="shared" si="3"/>
        <v>9</v>
      </c>
      <c r="BC23" s="85" t="s">
        <v>71</v>
      </c>
      <c r="BD23" s="85">
        <v>63</v>
      </c>
      <c r="BE23" s="105" t="s">
        <v>685</v>
      </c>
      <c r="BF23" s="105" t="s">
        <v>686</v>
      </c>
      <c r="BG23" s="85">
        <v>121.1</v>
      </c>
      <c r="BH23" s="85" t="s">
        <v>106</v>
      </c>
      <c r="BI23" s="85">
        <v>3.4</v>
      </c>
      <c r="BJ23" s="85">
        <v>1</v>
      </c>
      <c r="BK23" s="85">
        <v>4.4000000000000004</v>
      </c>
      <c r="BL23" s="85" t="s">
        <v>114</v>
      </c>
      <c r="BM23" s="107"/>
    </row>
    <row r="24" spans="1:65" s="104" customFormat="1" ht="33.75" customHeight="1">
      <c r="A24" s="85">
        <f t="shared" si="4"/>
        <v>10</v>
      </c>
      <c r="B24" s="85" t="s">
        <v>71</v>
      </c>
      <c r="C24" s="85">
        <v>63</v>
      </c>
      <c r="D24" s="105" t="s">
        <v>433</v>
      </c>
      <c r="E24" s="105" t="s">
        <v>142</v>
      </c>
      <c r="F24" s="85">
        <v>125.9</v>
      </c>
      <c r="G24" s="85" t="s">
        <v>106</v>
      </c>
      <c r="H24" s="85">
        <v>3.5</v>
      </c>
      <c r="I24" s="85">
        <v>1</v>
      </c>
      <c r="J24" s="85">
        <v>4.5</v>
      </c>
      <c r="K24" s="85" t="s">
        <v>114</v>
      </c>
      <c r="L24" s="107"/>
      <c r="N24" s="85">
        <f t="shared" si="0"/>
        <v>10</v>
      </c>
      <c r="O24" s="85" t="s">
        <v>71</v>
      </c>
      <c r="P24" s="85">
        <v>63</v>
      </c>
      <c r="Q24" s="105" t="s">
        <v>621</v>
      </c>
      <c r="R24" s="105" t="s">
        <v>687</v>
      </c>
      <c r="S24" s="85">
        <v>561.5</v>
      </c>
      <c r="T24" s="85" t="s">
        <v>285</v>
      </c>
      <c r="U24" s="85">
        <v>3.3</v>
      </c>
      <c r="V24" s="85">
        <v>1</v>
      </c>
      <c r="W24" s="85">
        <v>4.3</v>
      </c>
      <c r="X24" s="85" t="s">
        <v>114</v>
      </c>
      <c r="Y24" s="107"/>
      <c r="AB24" s="85">
        <f t="shared" si="1"/>
        <v>10</v>
      </c>
      <c r="AC24" s="85" t="s">
        <v>71</v>
      </c>
      <c r="AD24" s="85">
        <v>63</v>
      </c>
      <c r="AE24" s="105" t="s">
        <v>667</v>
      </c>
      <c r="AF24" s="105" t="s">
        <v>681</v>
      </c>
      <c r="AG24" s="85">
        <v>44.9</v>
      </c>
      <c r="AH24" s="85" t="s">
        <v>106</v>
      </c>
      <c r="AI24" s="85">
        <v>3</v>
      </c>
      <c r="AJ24" s="85">
        <v>1</v>
      </c>
      <c r="AK24" s="85">
        <v>4</v>
      </c>
      <c r="AL24" s="85" t="s">
        <v>114</v>
      </c>
      <c r="AM24" s="107"/>
      <c r="AO24" s="85">
        <f t="shared" si="2"/>
        <v>10</v>
      </c>
      <c r="AP24" s="85" t="s">
        <v>71</v>
      </c>
      <c r="AQ24" s="85">
        <v>63</v>
      </c>
      <c r="AR24" s="105" t="s">
        <v>684</v>
      </c>
      <c r="AS24" s="105" t="s">
        <v>688</v>
      </c>
      <c r="AT24" s="85">
        <v>10</v>
      </c>
      <c r="AU24" s="85" t="s">
        <v>276</v>
      </c>
      <c r="AV24" s="85">
        <v>3.5</v>
      </c>
      <c r="AW24" s="85">
        <v>1</v>
      </c>
      <c r="AX24" s="85">
        <v>4.5</v>
      </c>
      <c r="AY24" s="85" t="s">
        <v>114</v>
      </c>
      <c r="AZ24" s="107"/>
      <c r="BB24" s="85">
        <f t="shared" si="3"/>
        <v>10</v>
      </c>
      <c r="BC24" s="85" t="s">
        <v>71</v>
      </c>
      <c r="BD24" s="85">
        <v>63</v>
      </c>
      <c r="BE24" s="105" t="s">
        <v>335</v>
      </c>
      <c r="BF24" s="105" t="s">
        <v>195</v>
      </c>
      <c r="BG24" s="85">
        <v>29.6</v>
      </c>
      <c r="BH24" s="85" t="s">
        <v>106</v>
      </c>
      <c r="BI24" s="85">
        <v>3.4</v>
      </c>
      <c r="BJ24" s="85">
        <v>1</v>
      </c>
      <c r="BK24" s="85">
        <v>4.4000000000000004</v>
      </c>
      <c r="BL24" s="85" t="s">
        <v>114</v>
      </c>
      <c r="BM24" s="107"/>
    </row>
    <row r="25" spans="1:65" s="104" customFormat="1" ht="33.75" customHeight="1">
      <c r="A25" s="85">
        <f t="shared" si="4"/>
        <v>11</v>
      </c>
      <c r="B25" s="85" t="s">
        <v>71</v>
      </c>
      <c r="C25" s="85">
        <v>63</v>
      </c>
      <c r="D25" s="105" t="s">
        <v>142</v>
      </c>
      <c r="E25" s="105" t="s">
        <v>150</v>
      </c>
      <c r="F25" s="85">
        <v>120.5</v>
      </c>
      <c r="G25" s="85" t="s">
        <v>106</v>
      </c>
      <c r="H25" s="85">
        <v>3.5</v>
      </c>
      <c r="I25" s="85">
        <v>1</v>
      </c>
      <c r="J25" s="85">
        <v>4.5</v>
      </c>
      <c r="K25" s="85" t="s">
        <v>114</v>
      </c>
      <c r="L25" s="107"/>
      <c r="N25" s="85">
        <f t="shared" si="0"/>
        <v>11</v>
      </c>
      <c r="O25" s="85" t="s">
        <v>71</v>
      </c>
      <c r="P25" s="85">
        <v>63</v>
      </c>
      <c r="Q25" s="105" t="s">
        <v>687</v>
      </c>
      <c r="R25" s="105" t="s">
        <v>689</v>
      </c>
      <c r="S25" s="85">
        <v>88.9</v>
      </c>
      <c r="T25" s="85" t="s">
        <v>285</v>
      </c>
      <c r="U25" s="85">
        <v>3.3</v>
      </c>
      <c r="V25" s="85">
        <v>1</v>
      </c>
      <c r="W25" s="85">
        <v>4.3</v>
      </c>
      <c r="X25" s="85" t="s">
        <v>114</v>
      </c>
      <c r="Y25" s="107"/>
      <c r="AB25" s="85">
        <f t="shared" si="1"/>
        <v>11</v>
      </c>
      <c r="AC25" s="85" t="s">
        <v>71</v>
      </c>
      <c r="AD25" s="85">
        <v>63</v>
      </c>
      <c r="AE25" s="105" t="s">
        <v>683</v>
      </c>
      <c r="AF25" s="105" t="s">
        <v>690</v>
      </c>
      <c r="AG25" s="85">
        <v>43.2</v>
      </c>
      <c r="AH25" s="85" t="s">
        <v>106</v>
      </c>
      <c r="AI25" s="85">
        <v>3</v>
      </c>
      <c r="AJ25" s="85">
        <v>1</v>
      </c>
      <c r="AK25" s="85">
        <v>4</v>
      </c>
      <c r="AL25" s="85" t="s">
        <v>114</v>
      </c>
      <c r="AM25" s="107"/>
      <c r="AO25" s="85">
        <f t="shared" si="2"/>
        <v>11</v>
      </c>
      <c r="AP25" s="85" t="s">
        <v>71</v>
      </c>
      <c r="AQ25" s="85">
        <v>63</v>
      </c>
      <c r="AR25" s="105" t="s">
        <v>684</v>
      </c>
      <c r="AS25" s="105" t="s">
        <v>164</v>
      </c>
      <c r="AT25" s="85">
        <v>10</v>
      </c>
      <c r="AU25" s="85" t="s">
        <v>276</v>
      </c>
      <c r="AV25" s="85">
        <v>3.5</v>
      </c>
      <c r="AW25" s="85">
        <v>1</v>
      </c>
      <c r="AX25" s="85">
        <v>4.5</v>
      </c>
      <c r="AY25" s="85" t="s">
        <v>114</v>
      </c>
      <c r="AZ25" s="107"/>
      <c r="BB25" s="338"/>
      <c r="BC25" s="338"/>
      <c r="BD25" s="338" t="s">
        <v>86</v>
      </c>
      <c r="BE25" s="338"/>
      <c r="BF25" s="338"/>
      <c r="BG25" s="338"/>
      <c r="BH25" s="338" t="s">
        <v>87</v>
      </c>
      <c r="BI25" s="338"/>
      <c r="BJ25" s="338"/>
      <c r="BK25" s="338" t="s">
        <v>39</v>
      </c>
      <c r="BL25" s="338"/>
      <c r="BM25" s="338"/>
    </row>
    <row r="26" spans="1:65" s="104" customFormat="1" ht="33.75" customHeight="1">
      <c r="A26" s="85">
        <f t="shared" si="4"/>
        <v>12</v>
      </c>
      <c r="B26" s="85" t="s">
        <v>71</v>
      </c>
      <c r="C26" s="85">
        <v>63</v>
      </c>
      <c r="D26" s="105" t="s">
        <v>319</v>
      </c>
      <c r="E26" s="105" t="s">
        <v>224</v>
      </c>
      <c r="F26" s="85">
        <v>95</v>
      </c>
      <c r="G26" s="85" t="s">
        <v>106</v>
      </c>
      <c r="H26" s="85">
        <v>3.5</v>
      </c>
      <c r="I26" s="85">
        <v>1</v>
      </c>
      <c r="J26" s="85">
        <v>4.5</v>
      </c>
      <c r="K26" s="85" t="s">
        <v>114</v>
      </c>
      <c r="L26" s="107"/>
      <c r="N26" s="85">
        <f t="shared" si="0"/>
        <v>12</v>
      </c>
      <c r="O26" s="85" t="s">
        <v>71</v>
      </c>
      <c r="P26" s="85">
        <v>63</v>
      </c>
      <c r="Q26" s="105" t="s">
        <v>687</v>
      </c>
      <c r="R26" s="105" t="s">
        <v>674</v>
      </c>
      <c r="S26" s="85">
        <v>203</v>
      </c>
      <c r="T26" s="85" t="s">
        <v>285</v>
      </c>
      <c r="U26" s="85">
        <v>3.3</v>
      </c>
      <c r="V26" s="85">
        <v>1</v>
      </c>
      <c r="W26" s="85">
        <v>4.3</v>
      </c>
      <c r="X26" s="85" t="s">
        <v>114</v>
      </c>
      <c r="Y26" s="107"/>
      <c r="AB26" s="85">
        <f t="shared" si="1"/>
        <v>12</v>
      </c>
      <c r="AC26" s="85" t="s">
        <v>71</v>
      </c>
      <c r="AD26" s="85">
        <v>63</v>
      </c>
      <c r="AE26" s="105" t="s">
        <v>690</v>
      </c>
      <c r="AF26" s="105" t="s">
        <v>691</v>
      </c>
      <c r="AG26" s="85">
        <v>62.9</v>
      </c>
      <c r="AH26" s="85" t="s">
        <v>106</v>
      </c>
      <c r="AI26" s="85">
        <v>3</v>
      </c>
      <c r="AJ26" s="85">
        <v>1</v>
      </c>
      <c r="AK26" s="85">
        <v>4</v>
      </c>
      <c r="AL26" s="85" t="s">
        <v>114</v>
      </c>
      <c r="AM26" s="107"/>
      <c r="AO26" s="85">
        <f t="shared" si="2"/>
        <v>12</v>
      </c>
      <c r="AP26" s="85" t="s">
        <v>71</v>
      </c>
      <c r="AQ26" s="85">
        <v>63</v>
      </c>
      <c r="AR26" s="105" t="s">
        <v>164</v>
      </c>
      <c r="AS26" s="105" t="s">
        <v>252</v>
      </c>
      <c r="AT26" s="85">
        <v>46.7</v>
      </c>
      <c r="AU26" s="85" t="s">
        <v>276</v>
      </c>
      <c r="AV26" s="85">
        <v>3.5</v>
      </c>
      <c r="AW26" s="85">
        <v>1</v>
      </c>
      <c r="AX26" s="85">
        <v>4.5</v>
      </c>
      <c r="AY26" s="85" t="s">
        <v>114</v>
      </c>
      <c r="AZ26" s="107"/>
      <c r="BB26" s="330" t="s">
        <v>40</v>
      </c>
      <c r="BC26" s="330"/>
      <c r="BD26" s="331"/>
      <c r="BE26" s="331"/>
      <c r="BF26" s="331"/>
      <c r="BG26" s="331"/>
      <c r="BH26" s="331"/>
      <c r="BI26" s="331"/>
      <c r="BJ26" s="331"/>
      <c r="BK26" s="331"/>
      <c r="BL26" s="331"/>
      <c r="BM26" s="331"/>
    </row>
    <row r="27" spans="1:65" s="104" customFormat="1" ht="33.75" customHeight="1">
      <c r="A27" s="85">
        <f t="shared" si="4"/>
        <v>13</v>
      </c>
      <c r="B27" s="85" t="s">
        <v>71</v>
      </c>
      <c r="C27" s="85">
        <v>63</v>
      </c>
      <c r="D27" s="105" t="s">
        <v>224</v>
      </c>
      <c r="E27" s="105" t="s">
        <v>221</v>
      </c>
      <c r="F27" s="85">
        <v>49.9</v>
      </c>
      <c r="G27" s="85" t="s">
        <v>106</v>
      </c>
      <c r="H27" s="85">
        <v>3.5</v>
      </c>
      <c r="I27" s="85">
        <v>1</v>
      </c>
      <c r="J27" s="85">
        <v>4.5</v>
      </c>
      <c r="K27" s="85" t="s">
        <v>114</v>
      </c>
      <c r="L27" s="107"/>
      <c r="N27" s="85">
        <f t="shared" si="0"/>
        <v>13</v>
      </c>
      <c r="O27" s="85" t="s">
        <v>71</v>
      </c>
      <c r="P27" s="85">
        <v>63</v>
      </c>
      <c r="Q27" s="105" t="s">
        <v>682</v>
      </c>
      <c r="R27" s="105" t="s">
        <v>692</v>
      </c>
      <c r="S27" s="85">
        <v>60</v>
      </c>
      <c r="T27" s="85" t="s">
        <v>285</v>
      </c>
      <c r="U27" s="85">
        <v>3.3</v>
      </c>
      <c r="V27" s="85">
        <v>1</v>
      </c>
      <c r="W27" s="85">
        <v>4.3</v>
      </c>
      <c r="X27" s="85" t="s">
        <v>114</v>
      </c>
      <c r="Y27" s="107"/>
      <c r="AB27" s="85">
        <f t="shared" si="1"/>
        <v>13</v>
      </c>
      <c r="AC27" s="85" t="s">
        <v>71</v>
      </c>
      <c r="AD27" s="85">
        <v>63</v>
      </c>
      <c r="AE27" s="105" t="s">
        <v>691</v>
      </c>
      <c r="AF27" s="105" t="s">
        <v>693</v>
      </c>
      <c r="AG27" s="85">
        <v>23</v>
      </c>
      <c r="AH27" s="85" t="s">
        <v>106</v>
      </c>
      <c r="AI27" s="85">
        <v>3</v>
      </c>
      <c r="AJ27" s="85">
        <v>1</v>
      </c>
      <c r="AK27" s="85">
        <v>4</v>
      </c>
      <c r="AL27" s="85" t="s">
        <v>114</v>
      </c>
      <c r="AM27" s="107"/>
      <c r="AO27" s="85">
        <f t="shared" si="2"/>
        <v>13</v>
      </c>
      <c r="AP27" s="85" t="s">
        <v>71</v>
      </c>
      <c r="AQ27" s="85">
        <v>63</v>
      </c>
      <c r="AR27" s="105" t="s">
        <v>252</v>
      </c>
      <c r="AS27" s="105" t="s">
        <v>694</v>
      </c>
      <c r="AT27" s="85">
        <v>13.5</v>
      </c>
      <c r="AU27" s="85" t="s">
        <v>276</v>
      </c>
      <c r="AV27" s="85">
        <v>3.5</v>
      </c>
      <c r="AW27" s="85">
        <v>1</v>
      </c>
      <c r="AX27" s="85">
        <v>4.5</v>
      </c>
      <c r="AY27" s="85" t="s">
        <v>114</v>
      </c>
      <c r="AZ27" s="107"/>
      <c r="BB27" s="330" t="s">
        <v>41</v>
      </c>
      <c r="BC27" s="330"/>
      <c r="BD27" s="331" t="s">
        <v>133</v>
      </c>
      <c r="BE27" s="331"/>
      <c r="BF27" s="331"/>
      <c r="BG27" s="331"/>
      <c r="BH27" s="331"/>
      <c r="BI27" s="331"/>
      <c r="BJ27" s="331"/>
      <c r="BK27" s="331"/>
      <c r="BL27" s="331"/>
      <c r="BM27" s="331"/>
    </row>
    <row r="28" spans="1:65" s="104" customFormat="1" ht="33.75" customHeight="1">
      <c r="A28" s="85">
        <f t="shared" si="4"/>
        <v>14</v>
      </c>
      <c r="B28" s="85" t="s">
        <v>71</v>
      </c>
      <c r="C28" s="85">
        <v>63</v>
      </c>
      <c r="D28" s="105" t="s">
        <v>221</v>
      </c>
      <c r="E28" s="105" t="s">
        <v>695</v>
      </c>
      <c r="F28" s="85">
        <v>37.4</v>
      </c>
      <c r="G28" s="85" t="s">
        <v>106</v>
      </c>
      <c r="H28" s="85">
        <v>3.5</v>
      </c>
      <c r="I28" s="85">
        <v>1</v>
      </c>
      <c r="J28" s="85">
        <v>4.5</v>
      </c>
      <c r="K28" s="85" t="s">
        <v>114</v>
      </c>
      <c r="L28" s="107"/>
      <c r="N28" s="85">
        <f t="shared" si="0"/>
        <v>14</v>
      </c>
      <c r="O28" s="85" t="s">
        <v>71</v>
      </c>
      <c r="P28" s="85">
        <v>63</v>
      </c>
      <c r="Q28" s="105" t="s">
        <v>682</v>
      </c>
      <c r="R28" s="105" t="s">
        <v>696</v>
      </c>
      <c r="S28" s="85">
        <v>138.30000000000001</v>
      </c>
      <c r="T28" s="85" t="s">
        <v>285</v>
      </c>
      <c r="U28" s="85">
        <v>3.3</v>
      </c>
      <c r="V28" s="85">
        <v>1</v>
      </c>
      <c r="W28" s="85">
        <v>4.3</v>
      </c>
      <c r="X28" s="85" t="s">
        <v>114</v>
      </c>
      <c r="Y28" s="107"/>
      <c r="AB28" s="85">
        <f t="shared" si="1"/>
        <v>14</v>
      </c>
      <c r="AC28" s="85" t="s">
        <v>71</v>
      </c>
      <c r="AD28" s="85">
        <v>63</v>
      </c>
      <c r="AE28" s="105" t="s">
        <v>683</v>
      </c>
      <c r="AF28" s="105" t="s">
        <v>697</v>
      </c>
      <c r="AG28" s="85">
        <v>167.6</v>
      </c>
      <c r="AH28" s="85" t="s">
        <v>106</v>
      </c>
      <c r="AI28" s="85">
        <v>3</v>
      </c>
      <c r="AJ28" s="85">
        <v>1</v>
      </c>
      <c r="AK28" s="85">
        <v>4</v>
      </c>
      <c r="AL28" s="85" t="s">
        <v>114</v>
      </c>
      <c r="AM28" s="107"/>
      <c r="AO28" s="85">
        <f t="shared" si="2"/>
        <v>14</v>
      </c>
      <c r="AP28" s="85" t="s">
        <v>71</v>
      </c>
      <c r="AQ28" s="85">
        <v>63</v>
      </c>
      <c r="AR28" s="105" t="s">
        <v>252</v>
      </c>
      <c r="AS28" s="105" t="s">
        <v>119</v>
      </c>
      <c r="AT28" s="85">
        <v>9.5</v>
      </c>
      <c r="AU28" s="85" t="s">
        <v>276</v>
      </c>
      <c r="AV28" s="85">
        <v>3.5</v>
      </c>
      <c r="AW28" s="85">
        <v>1</v>
      </c>
      <c r="AX28" s="85">
        <v>4.5</v>
      </c>
      <c r="AY28" s="85" t="s">
        <v>114</v>
      </c>
      <c r="AZ28" s="107"/>
      <c r="BB28" s="330" t="s">
        <v>42</v>
      </c>
      <c r="BC28" s="330"/>
      <c r="BD28" s="331" t="s">
        <v>698</v>
      </c>
      <c r="BE28" s="331"/>
      <c r="BF28" s="331"/>
      <c r="BG28" s="331"/>
      <c r="BH28" s="331"/>
      <c r="BI28" s="331"/>
      <c r="BJ28" s="331"/>
      <c r="BK28" s="331"/>
      <c r="BL28" s="331"/>
      <c r="BM28" s="331"/>
    </row>
    <row r="29" spans="1:65" s="104" customFormat="1" ht="33.75" customHeight="1">
      <c r="A29" s="85">
        <f t="shared" si="4"/>
        <v>15</v>
      </c>
      <c r="B29" s="85" t="s">
        <v>71</v>
      </c>
      <c r="C29" s="85">
        <v>63</v>
      </c>
      <c r="D29" s="105" t="s">
        <v>221</v>
      </c>
      <c r="E29" s="105" t="s">
        <v>699</v>
      </c>
      <c r="F29" s="85">
        <v>53</v>
      </c>
      <c r="G29" s="85" t="s">
        <v>106</v>
      </c>
      <c r="H29" s="85">
        <v>3.5</v>
      </c>
      <c r="I29" s="85">
        <v>1</v>
      </c>
      <c r="J29" s="85">
        <v>4.5</v>
      </c>
      <c r="K29" s="85" t="s">
        <v>114</v>
      </c>
      <c r="L29" s="107"/>
      <c r="N29" s="85">
        <f t="shared" si="0"/>
        <v>15</v>
      </c>
      <c r="O29" s="85" t="s">
        <v>71</v>
      </c>
      <c r="P29" s="85">
        <v>63</v>
      </c>
      <c r="Q29" s="105" t="s">
        <v>696</v>
      </c>
      <c r="R29" s="105" t="s">
        <v>700</v>
      </c>
      <c r="S29" s="85">
        <v>87.6</v>
      </c>
      <c r="T29" s="85" t="s">
        <v>285</v>
      </c>
      <c r="U29" s="85">
        <v>3.3</v>
      </c>
      <c r="V29" s="85">
        <v>1</v>
      </c>
      <c r="W29" s="85">
        <v>4.3</v>
      </c>
      <c r="X29" s="85" t="s">
        <v>114</v>
      </c>
      <c r="Y29" s="107"/>
      <c r="AB29" s="85">
        <f t="shared" si="1"/>
        <v>15</v>
      </c>
      <c r="AC29" s="85" t="s">
        <v>71</v>
      </c>
      <c r="AD29" s="85">
        <v>63</v>
      </c>
      <c r="AE29" s="105" t="s">
        <v>691</v>
      </c>
      <c r="AF29" s="105" t="s">
        <v>701</v>
      </c>
      <c r="AG29" s="85">
        <v>135.69999999999999</v>
      </c>
      <c r="AH29" s="85" t="s">
        <v>106</v>
      </c>
      <c r="AI29" s="85">
        <v>3</v>
      </c>
      <c r="AJ29" s="85">
        <v>1</v>
      </c>
      <c r="AK29" s="85">
        <v>4</v>
      </c>
      <c r="AL29" s="85" t="s">
        <v>114</v>
      </c>
      <c r="AM29" s="107"/>
      <c r="AO29" s="85">
        <f t="shared" si="2"/>
        <v>15</v>
      </c>
      <c r="AP29" s="85" t="s">
        <v>71</v>
      </c>
      <c r="AQ29" s="85">
        <v>63</v>
      </c>
      <c r="AR29" s="105" t="s">
        <v>507</v>
      </c>
      <c r="AS29" s="105" t="s">
        <v>702</v>
      </c>
      <c r="AT29" s="85">
        <v>34.4</v>
      </c>
      <c r="AU29" s="85" t="s">
        <v>276</v>
      </c>
      <c r="AV29" s="85">
        <v>3.5</v>
      </c>
      <c r="AW29" s="85">
        <v>1</v>
      </c>
      <c r="AX29" s="85">
        <v>4.5</v>
      </c>
      <c r="AY29" s="85" t="s">
        <v>114</v>
      </c>
      <c r="AZ29" s="107"/>
      <c r="BB29" s="330" t="s">
        <v>43</v>
      </c>
      <c r="BC29" s="330"/>
      <c r="BD29" s="336"/>
      <c r="BE29" s="337"/>
      <c r="BF29" s="337"/>
      <c r="BG29" s="337"/>
      <c r="BH29" s="331"/>
      <c r="BI29" s="331"/>
      <c r="BJ29" s="331"/>
      <c r="BK29" s="331"/>
      <c r="BL29" s="331"/>
      <c r="BM29" s="331"/>
    </row>
    <row r="30" spans="1:65" s="104" customFormat="1" ht="33.75" customHeight="1">
      <c r="A30" s="85">
        <f t="shared" si="4"/>
        <v>16</v>
      </c>
      <c r="B30" s="85" t="s">
        <v>71</v>
      </c>
      <c r="C30" s="85">
        <v>63</v>
      </c>
      <c r="D30" s="105" t="s">
        <v>699</v>
      </c>
      <c r="E30" s="105" t="s">
        <v>202</v>
      </c>
      <c r="F30" s="85">
        <v>23.8</v>
      </c>
      <c r="G30" s="85" t="s">
        <v>106</v>
      </c>
      <c r="H30" s="85">
        <v>3.5</v>
      </c>
      <c r="I30" s="85">
        <v>1</v>
      </c>
      <c r="J30" s="85">
        <v>4.5</v>
      </c>
      <c r="K30" s="85" t="s">
        <v>114</v>
      </c>
      <c r="L30" s="107"/>
      <c r="N30" s="85">
        <f t="shared" si="0"/>
        <v>16</v>
      </c>
      <c r="O30" s="85" t="s">
        <v>71</v>
      </c>
      <c r="P30" s="85">
        <v>63</v>
      </c>
      <c r="Q30" s="105" t="s">
        <v>696</v>
      </c>
      <c r="R30" s="105" t="s">
        <v>668</v>
      </c>
      <c r="S30" s="85">
        <v>26.8</v>
      </c>
      <c r="T30" s="85" t="s">
        <v>285</v>
      </c>
      <c r="U30" s="85">
        <v>3.3</v>
      </c>
      <c r="V30" s="85">
        <v>1</v>
      </c>
      <c r="W30" s="85">
        <v>4.3</v>
      </c>
      <c r="X30" s="85" t="s">
        <v>114</v>
      </c>
      <c r="Y30" s="107"/>
      <c r="AB30" s="85">
        <f t="shared" si="1"/>
        <v>16</v>
      </c>
      <c r="AC30" s="85" t="s">
        <v>71</v>
      </c>
      <c r="AD30" s="85">
        <v>63</v>
      </c>
      <c r="AE30" s="105" t="s">
        <v>703</v>
      </c>
      <c r="AF30" s="105" t="s">
        <v>704</v>
      </c>
      <c r="AG30" s="85">
        <v>158.9</v>
      </c>
      <c r="AH30" s="85" t="s">
        <v>106</v>
      </c>
      <c r="AI30" s="85">
        <v>3</v>
      </c>
      <c r="AJ30" s="85">
        <v>1</v>
      </c>
      <c r="AK30" s="85">
        <v>4</v>
      </c>
      <c r="AL30" s="85" t="s">
        <v>114</v>
      </c>
      <c r="AM30" s="107"/>
      <c r="AO30" s="85">
        <f t="shared" si="2"/>
        <v>16</v>
      </c>
      <c r="AP30" s="85" t="s">
        <v>71</v>
      </c>
      <c r="AQ30" s="85">
        <v>63</v>
      </c>
      <c r="AR30" s="105" t="s">
        <v>702</v>
      </c>
      <c r="AS30" s="105" t="s">
        <v>705</v>
      </c>
      <c r="AT30" s="85">
        <v>66.400000000000006</v>
      </c>
      <c r="AU30" s="85" t="s">
        <v>276</v>
      </c>
      <c r="AV30" s="85">
        <v>3.5</v>
      </c>
      <c r="AW30" s="85">
        <v>1</v>
      </c>
      <c r="AX30" s="85">
        <v>4.5</v>
      </c>
      <c r="AY30" s="85" t="s">
        <v>114</v>
      </c>
      <c r="AZ30" s="107"/>
      <c r="BB30" s="108"/>
      <c r="BC30" s="109"/>
      <c r="BD30" s="109"/>
      <c r="BE30" s="109"/>
      <c r="BF30" s="109"/>
      <c r="BG30" s="109"/>
      <c r="BH30" s="109"/>
      <c r="BI30" s="109"/>
      <c r="BJ30" s="109"/>
      <c r="BK30" s="109"/>
      <c r="BL30" s="109"/>
    </row>
    <row r="31" spans="1:65" s="104" customFormat="1" ht="33.75" customHeight="1">
      <c r="A31" s="85">
        <f t="shared" si="4"/>
        <v>17</v>
      </c>
      <c r="B31" s="85" t="s">
        <v>71</v>
      </c>
      <c r="C31" s="85">
        <v>63</v>
      </c>
      <c r="D31" s="105" t="s">
        <v>202</v>
      </c>
      <c r="E31" s="105" t="s">
        <v>695</v>
      </c>
      <c r="F31" s="85">
        <v>59.9</v>
      </c>
      <c r="G31" s="85" t="s">
        <v>106</v>
      </c>
      <c r="H31" s="85">
        <v>3.5</v>
      </c>
      <c r="I31" s="85">
        <v>1</v>
      </c>
      <c r="J31" s="85">
        <v>4.5</v>
      </c>
      <c r="K31" s="85" t="s">
        <v>114</v>
      </c>
      <c r="L31" s="107"/>
      <c r="N31" s="85">
        <f t="shared" si="0"/>
        <v>17</v>
      </c>
      <c r="O31" s="85" t="s">
        <v>71</v>
      </c>
      <c r="P31" s="85">
        <v>63</v>
      </c>
      <c r="Q31" s="105" t="s">
        <v>668</v>
      </c>
      <c r="R31" s="105" t="s">
        <v>706</v>
      </c>
      <c r="S31" s="85">
        <v>25</v>
      </c>
      <c r="T31" s="85" t="s">
        <v>285</v>
      </c>
      <c r="U31" s="85">
        <v>3.3</v>
      </c>
      <c r="V31" s="85">
        <v>1</v>
      </c>
      <c r="W31" s="85">
        <v>4.3</v>
      </c>
      <c r="X31" s="85" t="s">
        <v>114</v>
      </c>
      <c r="Y31" s="107"/>
      <c r="AB31" s="85">
        <f t="shared" si="1"/>
        <v>17</v>
      </c>
      <c r="AC31" s="85" t="s">
        <v>71</v>
      </c>
      <c r="AD31" s="85">
        <v>63</v>
      </c>
      <c r="AE31" s="105" t="s">
        <v>704</v>
      </c>
      <c r="AF31" s="105" t="s">
        <v>678</v>
      </c>
      <c r="AG31" s="85">
        <v>115.4</v>
      </c>
      <c r="AH31" s="85" t="s">
        <v>106</v>
      </c>
      <c r="AI31" s="85">
        <v>3</v>
      </c>
      <c r="AJ31" s="85">
        <v>1</v>
      </c>
      <c r="AK31" s="85">
        <v>4</v>
      </c>
      <c r="AL31" s="85" t="s">
        <v>114</v>
      </c>
      <c r="AM31" s="107"/>
      <c r="AO31" s="85">
        <f t="shared" si="2"/>
        <v>17</v>
      </c>
      <c r="AP31" s="85" t="s">
        <v>71</v>
      </c>
      <c r="AQ31" s="85">
        <v>63</v>
      </c>
      <c r="AR31" s="105" t="s">
        <v>705</v>
      </c>
      <c r="AS31" s="105" t="s">
        <v>707</v>
      </c>
      <c r="AT31" s="85">
        <v>46.7</v>
      </c>
      <c r="AU31" s="85" t="s">
        <v>276</v>
      </c>
      <c r="AV31" s="85">
        <v>3.5</v>
      </c>
      <c r="AW31" s="85">
        <v>1</v>
      </c>
      <c r="AX31" s="85">
        <v>4.5</v>
      </c>
      <c r="AY31" s="85" t="s">
        <v>114</v>
      </c>
      <c r="AZ31" s="107"/>
    </row>
    <row r="32" spans="1:65" s="104" customFormat="1" ht="33.75" customHeight="1">
      <c r="A32" s="85">
        <f t="shared" si="4"/>
        <v>18</v>
      </c>
      <c r="B32" s="85" t="s">
        <v>71</v>
      </c>
      <c r="C32" s="85">
        <v>63</v>
      </c>
      <c r="D32" s="105" t="s">
        <v>695</v>
      </c>
      <c r="E32" s="105" t="s">
        <v>297</v>
      </c>
      <c r="F32" s="85">
        <v>36.700000000000003</v>
      </c>
      <c r="G32" s="85" t="s">
        <v>106</v>
      </c>
      <c r="H32" s="85">
        <v>3.5</v>
      </c>
      <c r="I32" s="85">
        <v>1</v>
      </c>
      <c r="J32" s="85">
        <v>4.5</v>
      </c>
      <c r="K32" s="85" t="s">
        <v>114</v>
      </c>
      <c r="L32" s="107"/>
      <c r="N32" s="85">
        <f t="shared" si="0"/>
        <v>18</v>
      </c>
      <c r="O32" s="85" t="s">
        <v>71</v>
      </c>
      <c r="P32" s="85">
        <v>63</v>
      </c>
      <c r="Q32" s="105" t="s">
        <v>668</v>
      </c>
      <c r="R32" s="105" t="s">
        <v>615</v>
      </c>
      <c r="S32" s="85">
        <v>149</v>
      </c>
      <c r="T32" s="85" t="s">
        <v>285</v>
      </c>
      <c r="U32" s="85">
        <v>3.3</v>
      </c>
      <c r="V32" s="85">
        <v>1</v>
      </c>
      <c r="W32" s="85">
        <v>4.3</v>
      </c>
      <c r="X32" s="85" t="s">
        <v>114</v>
      </c>
      <c r="Y32" s="107"/>
      <c r="AB32" s="85">
        <f t="shared" si="1"/>
        <v>18</v>
      </c>
      <c r="AC32" s="85" t="s">
        <v>71</v>
      </c>
      <c r="AD32" s="85">
        <v>63</v>
      </c>
      <c r="AE32" s="105" t="s">
        <v>704</v>
      </c>
      <c r="AF32" s="105" t="s">
        <v>172</v>
      </c>
      <c r="AG32" s="85">
        <v>100.5</v>
      </c>
      <c r="AH32" s="85" t="s">
        <v>106</v>
      </c>
      <c r="AI32" s="85">
        <v>3</v>
      </c>
      <c r="AJ32" s="85">
        <v>1</v>
      </c>
      <c r="AK32" s="85">
        <v>4</v>
      </c>
      <c r="AL32" s="85" t="s">
        <v>114</v>
      </c>
      <c r="AM32" s="107"/>
      <c r="AO32" s="85">
        <f t="shared" si="2"/>
        <v>18</v>
      </c>
      <c r="AP32" s="85" t="s">
        <v>71</v>
      </c>
      <c r="AQ32" s="85">
        <v>63</v>
      </c>
      <c r="AR32" s="105" t="s">
        <v>705</v>
      </c>
      <c r="AS32" s="105" t="s">
        <v>225</v>
      </c>
      <c r="AT32" s="85">
        <v>24.2</v>
      </c>
      <c r="AU32" s="85" t="s">
        <v>276</v>
      </c>
      <c r="AV32" s="85">
        <v>3.5</v>
      </c>
      <c r="AW32" s="85">
        <v>1</v>
      </c>
      <c r="AX32" s="85">
        <v>4.5</v>
      </c>
      <c r="AY32" s="85" t="s">
        <v>114</v>
      </c>
      <c r="AZ32" s="107"/>
    </row>
    <row r="33" spans="1:52" s="104" customFormat="1" ht="33.75" customHeight="1">
      <c r="A33" s="85">
        <f t="shared" si="4"/>
        <v>19</v>
      </c>
      <c r="B33" s="85" t="s">
        <v>71</v>
      </c>
      <c r="C33" s="85">
        <v>63</v>
      </c>
      <c r="D33" s="105" t="s">
        <v>297</v>
      </c>
      <c r="E33" s="105" t="s">
        <v>708</v>
      </c>
      <c r="F33" s="85">
        <v>56</v>
      </c>
      <c r="G33" s="85" t="s">
        <v>106</v>
      </c>
      <c r="H33" s="85">
        <v>3.5</v>
      </c>
      <c r="I33" s="85">
        <v>1</v>
      </c>
      <c r="J33" s="85">
        <v>4.5</v>
      </c>
      <c r="K33" s="85" t="s">
        <v>114</v>
      </c>
      <c r="L33" s="107"/>
      <c r="N33" s="85">
        <f t="shared" si="0"/>
        <v>19</v>
      </c>
      <c r="O33" s="85" t="s">
        <v>71</v>
      </c>
      <c r="P33" s="85">
        <v>63</v>
      </c>
      <c r="Q33" s="105" t="s">
        <v>615</v>
      </c>
      <c r="R33" s="105" t="s">
        <v>709</v>
      </c>
      <c r="S33" s="85">
        <v>38.5</v>
      </c>
      <c r="T33" s="85" t="s">
        <v>285</v>
      </c>
      <c r="U33" s="85">
        <v>3.3</v>
      </c>
      <c r="V33" s="85">
        <v>1</v>
      </c>
      <c r="W33" s="85">
        <v>4.3</v>
      </c>
      <c r="X33" s="85" t="s">
        <v>114</v>
      </c>
      <c r="Y33" s="107"/>
      <c r="AB33" s="85">
        <f t="shared" si="1"/>
        <v>19</v>
      </c>
      <c r="AC33" s="85" t="s">
        <v>71</v>
      </c>
      <c r="AD33" s="85">
        <v>63</v>
      </c>
      <c r="AE33" s="105" t="s">
        <v>601</v>
      </c>
      <c r="AF33" s="105" t="s">
        <v>681</v>
      </c>
      <c r="AG33" s="85">
        <v>143.4</v>
      </c>
      <c r="AH33" s="85" t="s">
        <v>106</v>
      </c>
      <c r="AI33" s="85">
        <v>3</v>
      </c>
      <c r="AJ33" s="85">
        <v>1</v>
      </c>
      <c r="AK33" s="85">
        <v>4</v>
      </c>
      <c r="AL33" s="85" t="s">
        <v>114</v>
      </c>
      <c r="AM33" s="107"/>
      <c r="AO33" s="85">
        <f t="shared" si="2"/>
        <v>19</v>
      </c>
      <c r="AP33" s="85" t="s">
        <v>71</v>
      </c>
      <c r="AQ33" s="85">
        <v>63</v>
      </c>
      <c r="AR33" s="105" t="s">
        <v>225</v>
      </c>
      <c r="AS33" s="105" t="s">
        <v>312</v>
      </c>
      <c r="AT33" s="85">
        <v>20</v>
      </c>
      <c r="AU33" s="85" t="s">
        <v>276</v>
      </c>
      <c r="AV33" s="85">
        <v>3.5</v>
      </c>
      <c r="AW33" s="85">
        <v>1</v>
      </c>
      <c r="AX33" s="85">
        <v>4.5</v>
      </c>
      <c r="AY33" s="85" t="s">
        <v>114</v>
      </c>
      <c r="AZ33" s="107"/>
    </row>
    <row r="34" spans="1:52" s="104" customFormat="1" ht="33.75" customHeight="1">
      <c r="A34" s="85">
        <f t="shared" si="4"/>
        <v>20</v>
      </c>
      <c r="B34" s="85" t="s">
        <v>71</v>
      </c>
      <c r="C34" s="85">
        <v>63</v>
      </c>
      <c r="D34" s="105" t="s">
        <v>297</v>
      </c>
      <c r="E34" s="105" t="s">
        <v>145</v>
      </c>
      <c r="F34" s="85">
        <v>20</v>
      </c>
      <c r="G34" s="85" t="s">
        <v>106</v>
      </c>
      <c r="H34" s="85">
        <v>3.5</v>
      </c>
      <c r="I34" s="85">
        <v>1</v>
      </c>
      <c r="J34" s="85">
        <v>4.5</v>
      </c>
      <c r="K34" s="85" t="s">
        <v>114</v>
      </c>
      <c r="L34" s="107"/>
      <c r="N34" s="85">
        <f t="shared" si="0"/>
        <v>20</v>
      </c>
      <c r="O34" s="85" t="s">
        <v>71</v>
      </c>
      <c r="P34" s="85">
        <v>63</v>
      </c>
      <c r="Q34" s="105" t="s">
        <v>692</v>
      </c>
      <c r="R34" s="105" t="s">
        <v>710</v>
      </c>
      <c r="S34" s="85">
        <v>91</v>
      </c>
      <c r="T34" s="85" t="s">
        <v>285</v>
      </c>
      <c r="U34" s="85">
        <v>3.3</v>
      </c>
      <c r="V34" s="85">
        <v>1</v>
      </c>
      <c r="W34" s="85">
        <v>4.3</v>
      </c>
      <c r="X34" s="85" t="s">
        <v>114</v>
      </c>
      <c r="Y34" s="107"/>
      <c r="AB34" s="85">
        <f t="shared" si="1"/>
        <v>20</v>
      </c>
      <c r="AC34" s="85" t="s">
        <v>71</v>
      </c>
      <c r="AD34" s="85">
        <v>63</v>
      </c>
      <c r="AE34" s="105" t="s">
        <v>681</v>
      </c>
      <c r="AF34" s="105" t="s">
        <v>711</v>
      </c>
      <c r="AG34" s="85">
        <v>156.9</v>
      </c>
      <c r="AH34" s="85" t="s">
        <v>106</v>
      </c>
      <c r="AI34" s="85">
        <v>3</v>
      </c>
      <c r="AJ34" s="85">
        <v>1</v>
      </c>
      <c r="AK34" s="85">
        <v>4</v>
      </c>
      <c r="AL34" s="85" t="s">
        <v>114</v>
      </c>
      <c r="AM34" s="107"/>
      <c r="AO34" s="85">
        <f t="shared" si="2"/>
        <v>20</v>
      </c>
      <c r="AP34" s="85" t="s">
        <v>71</v>
      </c>
      <c r="AQ34" s="85">
        <v>63</v>
      </c>
      <c r="AR34" s="105" t="s">
        <v>225</v>
      </c>
      <c r="AS34" s="105" t="s">
        <v>712</v>
      </c>
      <c r="AT34" s="85">
        <v>122.6</v>
      </c>
      <c r="AU34" s="85" t="s">
        <v>276</v>
      </c>
      <c r="AV34" s="85">
        <v>3.5</v>
      </c>
      <c r="AW34" s="85">
        <v>1</v>
      </c>
      <c r="AX34" s="85">
        <v>4.5</v>
      </c>
      <c r="AY34" s="85" t="s">
        <v>114</v>
      </c>
      <c r="AZ34" s="107"/>
    </row>
    <row r="35" spans="1:52" s="104" customFormat="1" ht="33.75" customHeight="1">
      <c r="A35" s="85">
        <f t="shared" si="4"/>
        <v>21</v>
      </c>
      <c r="B35" s="85" t="s">
        <v>71</v>
      </c>
      <c r="C35" s="85">
        <v>63</v>
      </c>
      <c r="D35" s="105" t="s">
        <v>145</v>
      </c>
      <c r="E35" s="105" t="s">
        <v>417</v>
      </c>
      <c r="F35" s="85">
        <v>106</v>
      </c>
      <c r="G35" s="85" t="s">
        <v>106</v>
      </c>
      <c r="H35" s="85">
        <v>3.5</v>
      </c>
      <c r="I35" s="85">
        <v>1</v>
      </c>
      <c r="J35" s="85">
        <v>4.5</v>
      </c>
      <c r="K35" s="85" t="s">
        <v>114</v>
      </c>
      <c r="L35" s="107"/>
      <c r="N35" s="85">
        <f t="shared" si="0"/>
        <v>21</v>
      </c>
      <c r="O35" s="85" t="s">
        <v>71</v>
      </c>
      <c r="P35" s="85">
        <v>63</v>
      </c>
      <c r="Q35" s="105" t="s">
        <v>710</v>
      </c>
      <c r="R35" s="105" t="s">
        <v>686</v>
      </c>
      <c r="S35" s="85">
        <v>18</v>
      </c>
      <c r="T35" s="85" t="s">
        <v>285</v>
      </c>
      <c r="U35" s="85">
        <v>3.3</v>
      </c>
      <c r="V35" s="85">
        <v>1</v>
      </c>
      <c r="W35" s="85">
        <v>4.3</v>
      </c>
      <c r="X35" s="85" t="s">
        <v>114</v>
      </c>
      <c r="Y35" s="107"/>
      <c r="AB35" s="85">
        <f t="shared" si="1"/>
        <v>21</v>
      </c>
      <c r="AC35" s="85" t="s">
        <v>71</v>
      </c>
      <c r="AD35" s="85">
        <v>63</v>
      </c>
      <c r="AE35" s="105" t="s">
        <v>703</v>
      </c>
      <c r="AF35" s="105" t="s">
        <v>601</v>
      </c>
      <c r="AG35" s="85">
        <v>55</v>
      </c>
      <c r="AH35" s="85" t="s">
        <v>106</v>
      </c>
      <c r="AI35" s="85">
        <v>3</v>
      </c>
      <c r="AJ35" s="85">
        <v>1</v>
      </c>
      <c r="AK35" s="85">
        <v>4</v>
      </c>
      <c r="AL35" s="85" t="s">
        <v>114</v>
      </c>
      <c r="AM35" s="107"/>
      <c r="AO35" s="85">
        <f t="shared" si="2"/>
        <v>21</v>
      </c>
      <c r="AP35" s="85" t="s">
        <v>71</v>
      </c>
      <c r="AQ35" s="85">
        <v>63</v>
      </c>
      <c r="AR35" s="105" t="s">
        <v>312</v>
      </c>
      <c r="AS35" s="105" t="s">
        <v>216</v>
      </c>
      <c r="AT35" s="85">
        <v>68</v>
      </c>
      <c r="AU35" s="85" t="s">
        <v>276</v>
      </c>
      <c r="AV35" s="85">
        <v>3.5</v>
      </c>
      <c r="AW35" s="85">
        <v>1</v>
      </c>
      <c r="AX35" s="85">
        <v>4.5</v>
      </c>
      <c r="AY35" s="85" t="s">
        <v>114</v>
      </c>
      <c r="AZ35" s="107"/>
    </row>
    <row r="36" spans="1:52" s="104" customFormat="1" ht="33.75" customHeight="1">
      <c r="A36" s="85">
        <f t="shared" si="4"/>
        <v>22</v>
      </c>
      <c r="B36" s="85" t="s">
        <v>71</v>
      </c>
      <c r="C36" s="85">
        <v>63</v>
      </c>
      <c r="D36" s="105" t="s">
        <v>145</v>
      </c>
      <c r="E36" s="105" t="s">
        <v>176</v>
      </c>
      <c r="F36" s="85">
        <v>144.30000000000001</v>
      </c>
      <c r="G36" s="85" t="s">
        <v>106</v>
      </c>
      <c r="H36" s="85">
        <v>3.5</v>
      </c>
      <c r="I36" s="85">
        <v>1</v>
      </c>
      <c r="J36" s="85">
        <v>4.5</v>
      </c>
      <c r="K36" s="85" t="s">
        <v>114</v>
      </c>
      <c r="L36" s="107"/>
      <c r="N36" s="85">
        <f t="shared" si="0"/>
        <v>22</v>
      </c>
      <c r="O36" s="85" t="s">
        <v>71</v>
      </c>
      <c r="P36" s="85">
        <v>63</v>
      </c>
      <c r="Q36" s="105" t="s">
        <v>686</v>
      </c>
      <c r="R36" s="105" t="s">
        <v>700</v>
      </c>
      <c r="S36" s="85">
        <v>31</v>
      </c>
      <c r="T36" s="85" t="s">
        <v>285</v>
      </c>
      <c r="U36" s="85">
        <v>3.3</v>
      </c>
      <c r="V36" s="85">
        <v>1</v>
      </c>
      <c r="W36" s="85">
        <v>4.3</v>
      </c>
      <c r="X36" s="85" t="s">
        <v>114</v>
      </c>
      <c r="Y36" s="107"/>
      <c r="AB36" s="85">
        <f t="shared" si="1"/>
        <v>22</v>
      </c>
      <c r="AC36" s="85" t="s">
        <v>71</v>
      </c>
      <c r="AD36" s="85">
        <v>63</v>
      </c>
      <c r="AE36" s="105" t="s">
        <v>697</v>
      </c>
      <c r="AF36" s="105" t="s">
        <v>713</v>
      </c>
      <c r="AG36" s="85">
        <v>41</v>
      </c>
      <c r="AH36" s="85" t="s">
        <v>106</v>
      </c>
      <c r="AI36" s="85">
        <v>3</v>
      </c>
      <c r="AJ36" s="85">
        <v>1</v>
      </c>
      <c r="AK36" s="85">
        <v>4</v>
      </c>
      <c r="AL36" s="85" t="s">
        <v>114</v>
      </c>
      <c r="AM36" s="107"/>
      <c r="AO36" s="85">
        <f t="shared" si="2"/>
        <v>22</v>
      </c>
      <c r="AP36" s="85" t="s">
        <v>71</v>
      </c>
      <c r="AQ36" s="85">
        <v>90</v>
      </c>
      <c r="AR36" s="105" t="s">
        <v>168</v>
      </c>
      <c r="AS36" s="105" t="s">
        <v>222</v>
      </c>
      <c r="AT36" s="85">
        <f>35.5+4.3</f>
        <v>39.799999999999997</v>
      </c>
      <c r="AU36" s="85" t="s">
        <v>276</v>
      </c>
      <c r="AV36" s="85">
        <v>3.5</v>
      </c>
      <c r="AW36" s="85">
        <v>1</v>
      </c>
      <c r="AX36" s="85">
        <v>4.5</v>
      </c>
      <c r="AY36" s="85" t="s">
        <v>114</v>
      </c>
      <c r="AZ36" s="107"/>
    </row>
    <row r="37" spans="1:52" s="104" customFormat="1" ht="33.75" customHeight="1">
      <c r="A37" s="85">
        <f t="shared" si="4"/>
        <v>23</v>
      </c>
      <c r="B37" s="85" t="s">
        <v>71</v>
      </c>
      <c r="C37" s="85">
        <v>63</v>
      </c>
      <c r="D37" s="105" t="s">
        <v>176</v>
      </c>
      <c r="E37" s="105" t="s">
        <v>149</v>
      </c>
      <c r="F37" s="85">
        <v>52.8</v>
      </c>
      <c r="G37" s="85" t="s">
        <v>106</v>
      </c>
      <c r="H37" s="85">
        <v>3.5</v>
      </c>
      <c r="I37" s="85">
        <v>1</v>
      </c>
      <c r="J37" s="85">
        <v>4.5</v>
      </c>
      <c r="K37" s="85" t="s">
        <v>114</v>
      </c>
      <c r="L37" s="107"/>
      <c r="N37" s="85">
        <f t="shared" si="0"/>
        <v>23</v>
      </c>
      <c r="O37" s="85" t="s">
        <v>71</v>
      </c>
      <c r="P37" s="85">
        <v>63</v>
      </c>
      <c r="Q37" s="105" t="s">
        <v>700</v>
      </c>
      <c r="R37" s="105" t="s">
        <v>714</v>
      </c>
      <c r="S37" s="85">
        <v>82.4</v>
      </c>
      <c r="T37" s="85" t="s">
        <v>285</v>
      </c>
      <c r="U37" s="85">
        <v>3.3</v>
      </c>
      <c r="V37" s="85">
        <v>1</v>
      </c>
      <c r="W37" s="85">
        <v>4.3</v>
      </c>
      <c r="X37" s="85" t="s">
        <v>114</v>
      </c>
      <c r="Y37" s="107"/>
      <c r="AB37" s="85">
        <f t="shared" si="1"/>
        <v>23</v>
      </c>
      <c r="AC37" s="85" t="s">
        <v>71</v>
      </c>
      <c r="AD37" s="85">
        <v>63</v>
      </c>
      <c r="AE37" s="105" t="s">
        <v>713</v>
      </c>
      <c r="AF37" s="105" t="s">
        <v>715</v>
      </c>
      <c r="AG37" s="85">
        <v>7.8</v>
      </c>
      <c r="AH37" s="85" t="s">
        <v>106</v>
      </c>
      <c r="AI37" s="85">
        <v>3</v>
      </c>
      <c r="AJ37" s="85">
        <v>1</v>
      </c>
      <c r="AK37" s="85">
        <v>4</v>
      </c>
      <c r="AL37" s="85" t="s">
        <v>114</v>
      </c>
      <c r="AM37" s="107"/>
      <c r="AO37" s="85">
        <f t="shared" si="2"/>
        <v>23</v>
      </c>
      <c r="AP37" s="85" t="s">
        <v>71</v>
      </c>
      <c r="AQ37" s="85">
        <v>63</v>
      </c>
      <c r="AR37" s="105" t="s">
        <v>222</v>
      </c>
      <c r="AS37" s="105" t="s">
        <v>716</v>
      </c>
      <c r="AT37" s="85">
        <v>273.3</v>
      </c>
      <c r="AU37" s="85" t="s">
        <v>276</v>
      </c>
      <c r="AV37" s="85">
        <v>3.5</v>
      </c>
      <c r="AW37" s="85">
        <v>1</v>
      </c>
      <c r="AX37" s="85">
        <v>4.5</v>
      </c>
      <c r="AY37" s="85" t="s">
        <v>114</v>
      </c>
      <c r="AZ37" s="107"/>
    </row>
    <row r="38" spans="1:52" s="104" customFormat="1" ht="33.75" customHeight="1">
      <c r="A38" s="85">
        <f t="shared" si="4"/>
        <v>24</v>
      </c>
      <c r="B38" s="85" t="s">
        <v>71</v>
      </c>
      <c r="C38" s="85">
        <v>63</v>
      </c>
      <c r="D38" s="105" t="s">
        <v>176</v>
      </c>
      <c r="E38" s="105" t="s">
        <v>717</v>
      </c>
      <c r="F38" s="85">
        <v>12.5</v>
      </c>
      <c r="G38" s="85" t="s">
        <v>106</v>
      </c>
      <c r="H38" s="85">
        <v>3.5</v>
      </c>
      <c r="I38" s="85">
        <v>1</v>
      </c>
      <c r="J38" s="85">
        <v>4.5</v>
      </c>
      <c r="K38" s="85" t="s">
        <v>114</v>
      </c>
      <c r="L38" s="107"/>
      <c r="N38" s="85">
        <f t="shared" si="0"/>
        <v>24</v>
      </c>
      <c r="O38" s="85" t="s">
        <v>71</v>
      </c>
      <c r="P38" s="85">
        <v>63</v>
      </c>
      <c r="Q38" s="105" t="s">
        <v>718</v>
      </c>
      <c r="R38" s="105" t="s">
        <v>719</v>
      </c>
      <c r="S38" s="85">
        <v>91</v>
      </c>
      <c r="T38" s="85" t="s">
        <v>285</v>
      </c>
      <c r="U38" s="85">
        <v>3.3</v>
      </c>
      <c r="V38" s="85">
        <v>1</v>
      </c>
      <c r="W38" s="85">
        <v>4.3</v>
      </c>
      <c r="X38" s="85" t="s">
        <v>114</v>
      </c>
      <c r="Y38" s="107"/>
      <c r="AB38" s="85">
        <f t="shared" si="1"/>
        <v>24</v>
      </c>
      <c r="AC38" s="85" t="s">
        <v>71</v>
      </c>
      <c r="AD38" s="85">
        <v>63</v>
      </c>
      <c r="AE38" s="105" t="s">
        <v>715</v>
      </c>
      <c r="AF38" s="105" t="s">
        <v>720</v>
      </c>
      <c r="AG38" s="85">
        <v>58.5</v>
      </c>
      <c r="AH38" s="85" t="s">
        <v>106</v>
      </c>
      <c r="AI38" s="85">
        <v>3</v>
      </c>
      <c r="AJ38" s="85">
        <v>1</v>
      </c>
      <c r="AK38" s="85">
        <v>4</v>
      </c>
      <c r="AL38" s="85" t="s">
        <v>114</v>
      </c>
      <c r="AM38" s="107"/>
      <c r="AO38" s="85">
        <f t="shared" si="2"/>
        <v>24</v>
      </c>
      <c r="AP38" s="85" t="s">
        <v>71</v>
      </c>
      <c r="AQ38" s="85">
        <v>63</v>
      </c>
      <c r="AR38" s="105" t="s">
        <v>314</v>
      </c>
      <c r="AS38" s="105" t="s">
        <v>721</v>
      </c>
      <c r="AT38" s="85">
        <v>54.7</v>
      </c>
      <c r="AU38" s="85" t="s">
        <v>276</v>
      </c>
      <c r="AV38" s="85">
        <v>3.5</v>
      </c>
      <c r="AW38" s="85">
        <v>1</v>
      </c>
      <c r="AX38" s="85">
        <v>4.5</v>
      </c>
      <c r="AY38" s="85" t="s">
        <v>114</v>
      </c>
      <c r="AZ38" s="107"/>
    </row>
    <row r="39" spans="1:52" s="104" customFormat="1" ht="33.75" customHeight="1">
      <c r="A39" s="85">
        <f t="shared" si="4"/>
        <v>25</v>
      </c>
      <c r="B39" s="85" t="s">
        <v>71</v>
      </c>
      <c r="C39" s="85">
        <v>63</v>
      </c>
      <c r="D39" s="105" t="s">
        <v>717</v>
      </c>
      <c r="E39" s="105" t="s">
        <v>226</v>
      </c>
      <c r="F39" s="85">
        <v>116.5</v>
      </c>
      <c r="G39" s="85" t="s">
        <v>106</v>
      </c>
      <c r="H39" s="85">
        <v>3.5</v>
      </c>
      <c r="I39" s="85">
        <v>1</v>
      </c>
      <c r="J39" s="85">
        <v>4.5</v>
      </c>
      <c r="K39" s="85" t="s">
        <v>114</v>
      </c>
      <c r="L39" s="107"/>
      <c r="N39" s="85">
        <f t="shared" si="0"/>
        <v>25</v>
      </c>
      <c r="O39" s="85" t="s">
        <v>71</v>
      </c>
      <c r="P39" s="85">
        <v>63</v>
      </c>
      <c r="Q39" s="105" t="s">
        <v>722</v>
      </c>
      <c r="R39" s="105" t="s">
        <v>723</v>
      </c>
      <c r="S39" s="85">
        <v>41</v>
      </c>
      <c r="T39" s="85" t="s">
        <v>285</v>
      </c>
      <c r="U39" s="85">
        <v>3.3</v>
      </c>
      <c r="V39" s="85">
        <v>1</v>
      </c>
      <c r="W39" s="85">
        <v>4.3</v>
      </c>
      <c r="X39" s="85" t="s">
        <v>114</v>
      </c>
      <c r="Y39" s="107"/>
      <c r="AB39" s="85">
        <f t="shared" si="1"/>
        <v>25</v>
      </c>
      <c r="AC39" s="85" t="s">
        <v>71</v>
      </c>
      <c r="AD39" s="85">
        <v>63</v>
      </c>
      <c r="AE39" s="105" t="s">
        <v>720</v>
      </c>
      <c r="AF39" s="105" t="s">
        <v>724</v>
      </c>
      <c r="AG39" s="85">
        <v>28.2</v>
      </c>
      <c r="AH39" s="85" t="s">
        <v>106</v>
      </c>
      <c r="AI39" s="85">
        <v>3</v>
      </c>
      <c r="AJ39" s="85">
        <v>1</v>
      </c>
      <c r="AK39" s="85">
        <v>4</v>
      </c>
      <c r="AL39" s="85" t="s">
        <v>114</v>
      </c>
      <c r="AM39" s="107"/>
      <c r="AO39" s="85">
        <f t="shared" si="2"/>
        <v>25</v>
      </c>
      <c r="AP39" s="85" t="s">
        <v>71</v>
      </c>
      <c r="AQ39" s="85">
        <v>63</v>
      </c>
      <c r="AR39" s="105" t="s">
        <v>721</v>
      </c>
      <c r="AS39" s="105" t="s">
        <v>309</v>
      </c>
      <c r="AT39" s="85">
        <v>80</v>
      </c>
      <c r="AU39" s="85" t="s">
        <v>276</v>
      </c>
      <c r="AV39" s="85">
        <v>3.5</v>
      </c>
      <c r="AW39" s="85">
        <v>1</v>
      </c>
      <c r="AX39" s="85">
        <v>4.5</v>
      </c>
      <c r="AY39" s="85" t="s">
        <v>114</v>
      </c>
      <c r="AZ39" s="107"/>
    </row>
    <row r="40" spans="1:52" s="104" customFormat="1" ht="33.75" customHeight="1">
      <c r="A40" s="85">
        <f t="shared" si="4"/>
        <v>26</v>
      </c>
      <c r="B40" s="85" t="s">
        <v>71</v>
      </c>
      <c r="C40" s="85">
        <v>63</v>
      </c>
      <c r="D40" s="105" t="s">
        <v>176</v>
      </c>
      <c r="E40" s="105" t="s">
        <v>194</v>
      </c>
      <c r="F40" s="85">
        <v>11.5</v>
      </c>
      <c r="G40" s="85" t="s">
        <v>106</v>
      </c>
      <c r="H40" s="85">
        <v>3.5</v>
      </c>
      <c r="I40" s="85">
        <v>1</v>
      </c>
      <c r="J40" s="85">
        <v>4.5</v>
      </c>
      <c r="K40" s="85" t="s">
        <v>114</v>
      </c>
      <c r="L40" s="107"/>
      <c r="N40" s="85">
        <f t="shared" si="0"/>
        <v>26</v>
      </c>
      <c r="O40" s="85" t="s">
        <v>71</v>
      </c>
      <c r="P40" s="85">
        <v>63</v>
      </c>
      <c r="Q40" s="105" t="s">
        <v>723</v>
      </c>
      <c r="R40" s="105" t="s">
        <v>725</v>
      </c>
      <c r="S40" s="85">
        <v>87.3</v>
      </c>
      <c r="T40" s="85" t="s">
        <v>285</v>
      </c>
      <c r="U40" s="85">
        <v>3.3</v>
      </c>
      <c r="V40" s="85">
        <v>1</v>
      </c>
      <c r="W40" s="85">
        <v>4.3</v>
      </c>
      <c r="X40" s="85" t="s">
        <v>114</v>
      </c>
      <c r="Y40" s="107"/>
      <c r="AB40" s="85">
        <f t="shared" si="1"/>
        <v>26</v>
      </c>
      <c r="AC40" s="85" t="s">
        <v>71</v>
      </c>
      <c r="AD40" s="85">
        <v>63</v>
      </c>
      <c r="AE40" s="105" t="s">
        <v>715</v>
      </c>
      <c r="AF40" s="105" t="s">
        <v>726</v>
      </c>
      <c r="AG40" s="85">
        <v>149.80000000000001</v>
      </c>
      <c r="AH40" s="85" t="s">
        <v>106</v>
      </c>
      <c r="AI40" s="85">
        <v>3</v>
      </c>
      <c r="AJ40" s="85">
        <v>1</v>
      </c>
      <c r="AK40" s="85">
        <v>4</v>
      </c>
      <c r="AL40" s="85" t="s">
        <v>114</v>
      </c>
      <c r="AM40" s="107"/>
      <c r="AO40" s="85">
        <f t="shared" si="2"/>
        <v>26</v>
      </c>
      <c r="AP40" s="85" t="s">
        <v>71</v>
      </c>
      <c r="AQ40" s="85">
        <v>63</v>
      </c>
      <c r="AR40" s="105" t="s">
        <v>721</v>
      </c>
      <c r="AS40" s="105" t="s">
        <v>727</v>
      </c>
      <c r="AT40" s="85">
        <v>112.3</v>
      </c>
      <c r="AU40" s="85" t="s">
        <v>276</v>
      </c>
      <c r="AV40" s="85">
        <v>3.5</v>
      </c>
      <c r="AW40" s="85">
        <v>1</v>
      </c>
      <c r="AX40" s="85">
        <v>4.5</v>
      </c>
      <c r="AY40" s="85" t="s">
        <v>114</v>
      </c>
      <c r="AZ40" s="107"/>
    </row>
    <row r="41" spans="1:52" s="104" customFormat="1" ht="33.75" customHeight="1">
      <c r="A41" s="85">
        <f t="shared" si="4"/>
        <v>27</v>
      </c>
      <c r="B41" s="85" t="s">
        <v>71</v>
      </c>
      <c r="C41" s="85">
        <v>63</v>
      </c>
      <c r="D41" s="105" t="s">
        <v>194</v>
      </c>
      <c r="E41" s="105" t="s">
        <v>198</v>
      </c>
      <c r="F41" s="85">
        <v>41.5</v>
      </c>
      <c r="G41" s="85" t="s">
        <v>106</v>
      </c>
      <c r="H41" s="85">
        <v>3.5</v>
      </c>
      <c r="I41" s="85">
        <v>1</v>
      </c>
      <c r="J41" s="85">
        <v>4.5</v>
      </c>
      <c r="K41" s="85" t="s">
        <v>114</v>
      </c>
      <c r="L41" s="107"/>
      <c r="N41" s="85">
        <f t="shared" si="0"/>
        <v>27</v>
      </c>
      <c r="O41" s="85" t="s">
        <v>71</v>
      </c>
      <c r="P41" s="85">
        <v>63</v>
      </c>
      <c r="Q41" s="105" t="s">
        <v>722</v>
      </c>
      <c r="R41" s="105" t="s">
        <v>719</v>
      </c>
      <c r="S41" s="85">
        <v>86.3</v>
      </c>
      <c r="T41" s="85" t="s">
        <v>285</v>
      </c>
      <c r="U41" s="85">
        <v>3.3</v>
      </c>
      <c r="V41" s="85">
        <v>1</v>
      </c>
      <c r="W41" s="85">
        <v>4.3</v>
      </c>
      <c r="X41" s="85" t="s">
        <v>114</v>
      </c>
      <c r="Y41" s="107"/>
      <c r="AB41" s="85">
        <f t="shared" si="1"/>
        <v>27</v>
      </c>
      <c r="AC41" s="85" t="s">
        <v>71</v>
      </c>
      <c r="AD41" s="85">
        <v>63</v>
      </c>
      <c r="AE41" s="105" t="s">
        <v>726</v>
      </c>
      <c r="AF41" s="105" t="s">
        <v>728</v>
      </c>
      <c r="AG41" s="85">
        <v>69</v>
      </c>
      <c r="AH41" s="85" t="s">
        <v>106</v>
      </c>
      <c r="AI41" s="85">
        <v>3</v>
      </c>
      <c r="AJ41" s="85">
        <v>1</v>
      </c>
      <c r="AK41" s="85">
        <v>4</v>
      </c>
      <c r="AL41" s="85" t="s">
        <v>114</v>
      </c>
      <c r="AM41" s="107"/>
      <c r="AO41" s="85">
        <f t="shared" si="2"/>
        <v>27</v>
      </c>
      <c r="AP41" s="85" t="s">
        <v>71</v>
      </c>
      <c r="AQ41" s="85">
        <v>63</v>
      </c>
      <c r="AR41" s="105" t="s">
        <v>727</v>
      </c>
      <c r="AS41" s="105" t="s">
        <v>83</v>
      </c>
      <c r="AT41" s="85">
        <v>39.6</v>
      </c>
      <c r="AU41" s="85" t="s">
        <v>276</v>
      </c>
      <c r="AV41" s="85">
        <v>3.5</v>
      </c>
      <c r="AW41" s="85">
        <v>1</v>
      </c>
      <c r="AX41" s="85">
        <v>4.5</v>
      </c>
      <c r="AY41" s="85" t="s">
        <v>114</v>
      </c>
      <c r="AZ41" s="107"/>
    </row>
    <row r="42" spans="1:52" s="104" customFormat="1" ht="33.75" customHeight="1">
      <c r="A42" s="85">
        <f t="shared" si="4"/>
        <v>28</v>
      </c>
      <c r="B42" s="85" t="s">
        <v>71</v>
      </c>
      <c r="C42" s="85">
        <v>63</v>
      </c>
      <c r="D42" s="105" t="s">
        <v>198</v>
      </c>
      <c r="E42" s="105" t="s">
        <v>338</v>
      </c>
      <c r="F42" s="85">
        <v>23.4</v>
      </c>
      <c r="G42" s="85" t="s">
        <v>106</v>
      </c>
      <c r="H42" s="85">
        <v>3.5</v>
      </c>
      <c r="I42" s="85">
        <v>1</v>
      </c>
      <c r="J42" s="85">
        <v>4.5</v>
      </c>
      <c r="K42" s="85" t="s">
        <v>114</v>
      </c>
      <c r="L42" s="107"/>
      <c r="N42" s="85">
        <f t="shared" si="0"/>
        <v>28</v>
      </c>
      <c r="O42" s="85" t="s">
        <v>71</v>
      </c>
      <c r="P42" s="85">
        <v>63</v>
      </c>
      <c r="Q42" s="105" t="s">
        <v>719</v>
      </c>
      <c r="R42" s="105" t="s">
        <v>714</v>
      </c>
      <c r="S42" s="85">
        <v>87</v>
      </c>
      <c r="T42" s="85" t="s">
        <v>285</v>
      </c>
      <c r="U42" s="85">
        <v>3.3</v>
      </c>
      <c r="V42" s="85">
        <v>1</v>
      </c>
      <c r="W42" s="85">
        <v>4.3</v>
      </c>
      <c r="X42" s="85" t="s">
        <v>114</v>
      </c>
      <c r="Y42" s="107"/>
      <c r="AB42" s="85">
        <f t="shared" si="1"/>
        <v>28</v>
      </c>
      <c r="AC42" s="85" t="s">
        <v>71</v>
      </c>
      <c r="AD42" s="85">
        <v>63</v>
      </c>
      <c r="AE42" s="105" t="s">
        <v>728</v>
      </c>
      <c r="AF42" s="105" t="s">
        <v>669</v>
      </c>
      <c r="AG42" s="85">
        <v>16.3</v>
      </c>
      <c r="AH42" s="85" t="s">
        <v>106</v>
      </c>
      <c r="AI42" s="85">
        <v>3</v>
      </c>
      <c r="AJ42" s="85">
        <v>1</v>
      </c>
      <c r="AK42" s="85">
        <v>4</v>
      </c>
      <c r="AL42" s="85" t="s">
        <v>114</v>
      </c>
      <c r="AM42" s="107"/>
      <c r="AO42" s="85">
        <f t="shared" si="2"/>
        <v>28</v>
      </c>
      <c r="AP42" s="85" t="s">
        <v>71</v>
      </c>
      <c r="AQ42" s="85">
        <v>63</v>
      </c>
      <c r="AR42" s="105" t="s">
        <v>83</v>
      </c>
      <c r="AS42" s="105" t="s">
        <v>175</v>
      </c>
      <c r="AT42" s="85">
        <v>41.5</v>
      </c>
      <c r="AU42" s="85" t="s">
        <v>276</v>
      </c>
      <c r="AV42" s="85">
        <v>3.5</v>
      </c>
      <c r="AW42" s="85">
        <v>1</v>
      </c>
      <c r="AX42" s="85">
        <v>4.5</v>
      </c>
      <c r="AY42" s="85" t="s">
        <v>114</v>
      </c>
      <c r="AZ42" s="107"/>
    </row>
    <row r="43" spans="1:52" s="104" customFormat="1" ht="33.75" customHeight="1">
      <c r="A43" s="85">
        <f t="shared" si="4"/>
        <v>29</v>
      </c>
      <c r="B43" s="85" t="s">
        <v>71</v>
      </c>
      <c r="C43" s="85">
        <v>63</v>
      </c>
      <c r="D43" s="105" t="s">
        <v>198</v>
      </c>
      <c r="E43" s="105" t="s">
        <v>205</v>
      </c>
      <c r="F43" s="85">
        <v>37</v>
      </c>
      <c r="G43" s="85" t="s">
        <v>106</v>
      </c>
      <c r="H43" s="85">
        <v>3.5</v>
      </c>
      <c r="I43" s="85">
        <v>1</v>
      </c>
      <c r="J43" s="85">
        <v>4.5</v>
      </c>
      <c r="K43" s="85" t="s">
        <v>114</v>
      </c>
      <c r="L43" s="107"/>
      <c r="N43" s="85">
        <f t="shared" si="0"/>
        <v>29</v>
      </c>
      <c r="O43" s="85" t="s">
        <v>71</v>
      </c>
      <c r="P43" s="85">
        <v>63</v>
      </c>
      <c r="Q43" s="105" t="s">
        <v>709</v>
      </c>
      <c r="R43" s="105" t="s">
        <v>729</v>
      </c>
      <c r="S43" s="85">
        <v>105.8</v>
      </c>
      <c r="T43" s="85" t="s">
        <v>285</v>
      </c>
      <c r="U43" s="85">
        <v>3.3</v>
      </c>
      <c r="V43" s="85">
        <v>1</v>
      </c>
      <c r="W43" s="85">
        <v>4.3</v>
      </c>
      <c r="X43" s="85" t="s">
        <v>114</v>
      </c>
      <c r="Y43" s="107"/>
      <c r="AB43" s="85">
        <f t="shared" si="1"/>
        <v>29</v>
      </c>
      <c r="AC43" s="85" t="s">
        <v>71</v>
      </c>
      <c r="AD43" s="85">
        <v>63</v>
      </c>
      <c r="AE43" s="105" t="s">
        <v>730</v>
      </c>
      <c r="AF43" s="105" t="s">
        <v>294</v>
      </c>
      <c r="AG43" s="85">
        <v>65</v>
      </c>
      <c r="AH43" s="85" t="s">
        <v>106</v>
      </c>
      <c r="AI43" s="85">
        <v>3</v>
      </c>
      <c r="AJ43" s="85">
        <v>1</v>
      </c>
      <c r="AK43" s="85">
        <v>4</v>
      </c>
      <c r="AL43" s="85" t="s">
        <v>114</v>
      </c>
      <c r="AM43" s="107"/>
      <c r="AO43" s="85">
        <f t="shared" si="2"/>
        <v>29</v>
      </c>
      <c r="AP43" s="85" t="s">
        <v>71</v>
      </c>
      <c r="AQ43" s="85">
        <v>63</v>
      </c>
      <c r="AR43" s="105" t="s">
        <v>727</v>
      </c>
      <c r="AS43" s="105" t="s">
        <v>227</v>
      </c>
      <c r="AT43" s="85">
        <v>104.2</v>
      </c>
      <c r="AU43" s="85" t="s">
        <v>276</v>
      </c>
      <c r="AV43" s="85">
        <v>3.5</v>
      </c>
      <c r="AW43" s="85">
        <v>1</v>
      </c>
      <c r="AX43" s="85">
        <v>4.5</v>
      </c>
      <c r="AY43" s="85" t="s">
        <v>114</v>
      </c>
      <c r="AZ43" s="107"/>
    </row>
    <row r="44" spans="1:52" s="104" customFormat="1" ht="33.75" customHeight="1">
      <c r="A44" s="85">
        <f t="shared" si="4"/>
        <v>30</v>
      </c>
      <c r="B44" s="85" t="s">
        <v>71</v>
      </c>
      <c r="C44" s="85">
        <v>63</v>
      </c>
      <c r="D44" s="105" t="s">
        <v>205</v>
      </c>
      <c r="E44" s="105" t="s">
        <v>241</v>
      </c>
      <c r="F44" s="85">
        <v>22</v>
      </c>
      <c r="G44" s="85" t="s">
        <v>106</v>
      </c>
      <c r="H44" s="85">
        <v>3.5</v>
      </c>
      <c r="I44" s="85">
        <v>1</v>
      </c>
      <c r="J44" s="85">
        <v>4.5</v>
      </c>
      <c r="K44" s="85" t="s">
        <v>114</v>
      </c>
      <c r="L44" s="107"/>
      <c r="N44" s="85">
        <f t="shared" si="0"/>
        <v>30</v>
      </c>
      <c r="O44" s="85" t="s">
        <v>71</v>
      </c>
      <c r="P44" s="85">
        <v>63</v>
      </c>
      <c r="Q44" s="105" t="s">
        <v>729</v>
      </c>
      <c r="R44" s="105" t="s">
        <v>731</v>
      </c>
      <c r="S44" s="85">
        <v>105</v>
      </c>
      <c r="T44" s="85" t="s">
        <v>285</v>
      </c>
      <c r="U44" s="85">
        <v>3.3</v>
      </c>
      <c r="V44" s="85">
        <v>1</v>
      </c>
      <c r="W44" s="85">
        <v>4.3</v>
      </c>
      <c r="X44" s="85" t="s">
        <v>114</v>
      </c>
      <c r="Y44" s="107"/>
      <c r="AB44" s="85">
        <f t="shared" si="1"/>
        <v>30</v>
      </c>
      <c r="AC44" s="85" t="s">
        <v>71</v>
      </c>
      <c r="AD44" s="85">
        <v>63</v>
      </c>
      <c r="AE44" s="105" t="s">
        <v>294</v>
      </c>
      <c r="AF44" s="105" t="s">
        <v>397</v>
      </c>
      <c r="AG44" s="85">
        <v>128.4</v>
      </c>
      <c r="AH44" s="85" t="s">
        <v>106</v>
      </c>
      <c r="AI44" s="85">
        <v>3</v>
      </c>
      <c r="AJ44" s="85">
        <v>1</v>
      </c>
      <c r="AK44" s="85">
        <v>4</v>
      </c>
      <c r="AL44" s="85" t="s">
        <v>114</v>
      </c>
      <c r="AM44" s="107"/>
      <c r="AO44" s="85">
        <f t="shared" si="2"/>
        <v>30</v>
      </c>
      <c r="AP44" s="85" t="s">
        <v>71</v>
      </c>
      <c r="AQ44" s="85">
        <v>63</v>
      </c>
      <c r="AR44" s="105" t="s">
        <v>227</v>
      </c>
      <c r="AS44" s="105" t="s">
        <v>235</v>
      </c>
      <c r="AT44" s="85">
        <v>40.200000000000003</v>
      </c>
      <c r="AU44" s="85" t="s">
        <v>276</v>
      </c>
      <c r="AV44" s="85">
        <v>3.5</v>
      </c>
      <c r="AW44" s="85">
        <v>1</v>
      </c>
      <c r="AX44" s="85">
        <v>4.5</v>
      </c>
      <c r="AY44" s="85" t="s">
        <v>114</v>
      </c>
      <c r="AZ44" s="107"/>
    </row>
    <row r="45" spans="1:52" s="104" customFormat="1" ht="33.75" customHeight="1">
      <c r="A45" s="85">
        <f t="shared" si="4"/>
        <v>31</v>
      </c>
      <c r="B45" s="85" t="s">
        <v>71</v>
      </c>
      <c r="C45" s="85">
        <v>63</v>
      </c>
      <c r="D45" s="105" t="s">
        <v>205</v>
      </c>
      <c r="E45" s="105" t="s">
        <v>403</v>
      </c>
      <c r="F45" s="85">
        <v>24</v>
      </c>
      <c r="G45" s="85" t="s">
        <v>106</v>
      </c>
      <c r="H45" s="85">
        <v>3.5</v>
      </c>
      <c r="I45" s="85">
        <v>1</v>
      </c>
      <c r="J45" s="85">
        <v>4.5</v>
      </c>
      <c r="K45" s="85" t="s">
        <v>114</v>
      </c>
      <c r="L45" s="107"/>
      <c r="N45" s="85">
        <f t="shared" si="0"/>
        <v>31</v>
      </c>
      <c r="O45" s="85" t="s">
        <v>71</v>
      </c>
      <c r="P45" s="85">
        <v>75</v>
      </c>
      <c r="Q45" s="105" t="s">
        <v>731</v>
      </c>
      <c r="R45" s="105" t="s">
        <v>732</v>
      </c>
      <c r="S45" s="85">
        <v>22</v>
      </c>
      <c r="T45" s="85" t="s">
        <v>285</v>
      </c>
      <c r="U45" s="85">
        <v>3.3</v>
      </c>
      <c r="V45" s="85">
        <v>1</v>
      </c>
      <c r="W45" s="85">
        <v>4.3</v>
      </c>
      <c r="X45" s="85" t="s">
        <v>114</v>
      </c>
      <c r="Y45" s="107"/>
      <c r="AB45" s="85">
        <f t="shared" si="1"/>
        <v>31</v>
      </c>
      <c r="AC45" s="85" t="s">
        <v>71</v>
      </c>
      <c r="AD45" s="85">
        <v>63</v>
      </c>
      <c r="AE45" s="105" t="s">
        <v>397</v>
      </c>
      <c r="AF45" s="105" t="s">
        <v>733</v>
      </c>
      <c r="AG45" s="85">
        <f>6+181.7</f>
        <v>187.7</v>
      </c>
      <c r="AH45" s="85" t="s">
        <v>106</v>
      </c>
      <c r="AI45" s="85">
        <v>3</v>
      </c>
      <c r="AJ45" s="85">
        <v>1</v>
      </c>
      <c r="AK45" s="85">
        <v>4</v>
      </c>
      <c r="AL45" s="85" t="s">
        <v>114</v>
      </c>
      <c r="AM45" s="107"/>
      <c r="AO45" s="85">
        <f t="shared" si="2"/>
        <v>31</v>
      </c>
      <c r="AP45" s="85" t="s">
        <v>71</v>
      </c>
      <c r="AQ45" s="85">
        <v>63</v>
      </c>
      <c r="AR45" s="105" t="s">
        <v>227</v>
      </c>
      <c r="AS45" s="105" t="s">
        <v>334</v>
      </c>
      <c r="AT45" s="85">
        <v>42</v>
      </c>
      <c r="AU45" s="85" t="s">
        <v>276</v>
      </c>
      <c r="AV45" s="85">
        <v>3.5</v>
      </c>
      <c r="AW45" s="85">
        <v>1</v>
      </c>
      <c r="AX45" s="85">
        <v>4.5</v>
      </c>
      <c r="AY45" s="85" t="s">
        <v>114</v>
      </c>
      <c r="AZ45" s="107"/>
    </row>
    <row r="46" spans="1:52" s="104" customFormat="1" ht="33.75" customHeight="1">
      <c r="A46" s="85">
        <f t="shared" si="4"/>
        <v>32</v>
      </c>
      <c r="B46" s="85" t="s">
        <v>71</v>
      </c>
      <c r="C46" s="85">
        <v>63</v>
      </c>
      <c r="D46" s="105" t="s">
        <v>403</v>
      </c>
      <c r="E46" s="105" t="s">
        <v>520</v>
      </c>
      <c r="F46" s="85">
        <v>30.4</v>
      </c>
      <c r="G46" s="85" t="s">
        <v>106</v>
      </c>
      <c r="H46" s="85">
        <v>3.5</v>
      </c>
      <c r="I46" s="85">
        <v>1</v>
      </c>
      <c r="J46" s="85">
        <v>4.5</v>
      </c>
      <c r="K46" s="85" t="s">
        <v>114</v>
      </c>
      <c r="L46" s="107"/>
      <c r="N46" s="85">
        <f t="shared" si="0"/>
        <v>32</v>
      </c>
      <c r="O46" s="85" t="s">
        <v>71</v>
      </c>
      <c r="P46" s="85">
        <v>63</v>
      </c>
      <c r="Q46" s="105" t="s">
        <v>731</v>
      </c>
      <c r="R46" s="105" t="s">
        <v>685</v>
      </c>
      <c r="S46" s="85">
        <v>41.5</v>
      </c>
      <c r="T46" s="85" t="s">
        <v>285</v>
      </c>
      <c r="U46" s="85">
        <v>3.3</v>
      </c>
      <c r="V46" s="85">
        <v>1</v>
      </c>
      <c r="W46" s="85">
        <v>4.3</v>
      </c>
      <c r="X46" s="85" t="s">
        <v>114</v>
      </c>
      <c r="Y46" s="107"/>
      <c r="AB46" s="85">
        <f t="shared" si="1"/>
        <v>32</v>
      </c>
      <c r="AC46" s="85" t="s">
        <v>71</v>
      </c>
      <c r="AD46" s="85">
        <v>63</v>
      </c>
      <c r="AE46" s="105" t="s">
        <v>733</v>
      </c>
      <c r="AF46" s="105" t="s">
        <v>734</v>
      </c>
      <c r="AG46" s="85">
        <v>198.9</v>
      </c>
      <c r="AH46" s="85" t="s">
        <v>106</v>
      </c>
      <c r="AI46" s="85">
        <v>3</v>
      </c>
      <c r="AJ46" s="85">
        <v>1</v>
      </c>
      <c r="AK46" s="85">
        <v>4</v>
      </c>
      <c r="AL46" s="85" t="s">
        <v>114</v>
      </c>
      <c r="AM46" s="107"/>
      <c r="AO46" s="85">
        <f t="shared" si="2"/>
        <v>32</v>
      </c>
      <c r="AP46" s="85" t="s">
        <v>71</v>
      </c>
      <c r="AQ46" s="85">
        <v>63</v>
      </c>
      <c r="AR46" s="105" t="s">
        <v>222</v>
      </c>
      <c r="AS46" s="105" t="s">
        <v>188</v>
      </c>
      <c r="AT46" s="85">
        <v>80.7</v>
      </c>
      <c r="AU46" s="85" t="s">
        <v>276</v>
      </c>
      <c r="AV46" s="85">
        <v>3.5</v>
      </c>
      <c r="AW46" s="85">
        <v>1</v>
      </c>
      <c r="AX46" s="85">
        <v>4.5</v>
      </c>
      <c r="AY46" s="85" t="s">
        <v>114</v>
      </c>
      <c r="AZ46" s="107"/>
    </row>
    <row r="47" spans="1:52" s="104" customFormat="1" ht="33.75" customHeight="1">
      <c r="A47" s="85">
        <f t="shared" si="4"/>
        <v>33</v>
      </c>
      <c r="B47" s="85" t="s">
        <v>71</v>
      </c>
      <c r="C47" s="85">
        <v>63</v>
      </c>
      <c r="D47" s="105" t="s">
        <v>520</v>
      </c>
      <c r="E47" s="105" t="s">
        <v>404</v>
      </c>
      <c r="F47" s="85">
        <v>67.400000000000006</v>
      </c>
      <c r="G47" s="85" t="s">
        <v>106</v>
      </c>
      <c r="H47" s="85">
        <v>3.5</v>
      </c>
      <c r="I47" s="85">
        <v>1</v>
      </c>
      <c r="J47" s="85">
        <v>4.5</v>
      </c>
      <c r="K47" s="85" t="s">
        <v>114</v>
      </c>
      <c r="L47" s="107"/>
      <c r="N47" s="85">
        <f t="shared" si="0"/>
        <v>33</v>
      </c>
      <c r="O47" s="85" t="s">
        <v>71</v>
      </c>
      <c r="P47" s="85">
        <v>63</v>
      </c>
      <c r="Q47" s="105" t="s">
        <v>729</v>
      </c>
      <c r="R47" s="105" t="s">
        <v>735</v>
      </c>
      <c r="S47" s="85">
        <v>34.799999999999997</v>
      </c>
      <c r="T47" s="85" t="s">
        <v>285</v>
      </c>
      <c r="U47" s="85">
        <v>3.3</v>
      </c>
      <c r="V47" s="85">
        <v>1</v>
      </c>
      <c r="W47" s="85">
        <v>4.3</v>
      </c>
      <c r="X47" s="85" t="s">
        <v>114</v>
      </c>
      <c r="Y47" s="107"/>
      <c r="AB47" s="85">
        <f t="shared" si="1"/>
        <v>33</v>
      </c>
      <c r="AC47" s="85" t="s">
        <v>71</v>
      </c>
      <c r="AD47" s="85">
        <v>63</v>
      </c>
      <c r="AE47" s="105" t="s">
        <v>733</v>
      </c>
      <c r="AF47" s="105" t="s">
        <v>239</v>
      </c>
      <c r="AG47" s="85">
        <v>305.7</v>
      </c>
      <c r="AH47" s="85" t="s">
        <v>106</v>
      </c>
      <c r="AI47" s="85">
        <v>3</v>
      </c>
      <c r="AJ47" s="85">
        <v>1</v>
      </c>
      <c r="AK47" s="85">
        <v>4</v>
      </c>
      <c r="AL47" s="85" t="s">
        <v>114</v>
      </c>
      <c r="AM47" s="107"/>
      <c r="AO47" s="85">
        <f t="shared" si="2"/>
        <v>33</v>
      </c>
      <c r="AP47" s="85" t="s">
        <v>71</v>
      </c>
      <c r="AQ47" s="85">
        <v>63</v>
      </c>
      <c r="AR47" s="105" t="s">
        <v>188</v>
      </c>
      <c r="AS47" s="105" t="s">
        <v>736</v>
      </c>
      <c r="AT47" s="85">
        <v>133.6</v>
      </c>
      <c r="AU47" s="85" t="s">
        <v>276</v>
      </c>
      <c r="AV47" s="85">
        <v>3.5</v>
      </c>
      <c r="AW47" s="85">
        <v>1</v>
      </c>
      <c r="AX47" s="85">
        <v>4.5</v>
      </c>
      <c r="AY47" s="85" t="s">
        <v>114</v>
      </c>
      <c r="AZ47" s="107"/>
    </row>
    <row r="48" spans="1:52" s="104" customFormat="1" ht="33.75" customHeight="1">
      <c r="A48" s="85">
        <f t="shared" si="4"/>
        <v>34</v>
      </c>
      <c r="B48" s="85" t="s">
        <v>71</v>
      </c>
      <c r="C48" s="85">
        <v>63</v>
      </c>
      <c r="D48" s="105" t="s">
        <v>404</v>
      </c>
      <c r="E48" s="105" t="s">
        <v>275</v>
      </c>
      <c r="F48" s="85">
        <v>34.1</v>
      </c>
      <c r="G48" s="85" t="s">
        <v>106</v>
      </c>
      <c r="H48" s="85">
        <v>3.5</v>
      </c>
      <c r="I48" s="85">
        <v>1</v>
      </c>
      <c r="J48" s="85">
        <v>4.5</v>
      </c>
      <c r="K48" s="85" t="s">
        <v>114</v>
      </c>
      <c r="L48" s="107"/>
      <c r="N48" s="85">
        <f t="shared" ref="N48:N79" si="5">1+N47</f>
        <v>34</v>
      </c>
      <c r="O48" s="85" t="s">
        <v>71</v>
      </c>
      <c r="P48" s="85">
        <v>63</v>
      </c>
      <c r="Q48" s="105" t="s">
        <v>729</v>
      </c>
      <c r="R48" s="105" t="s">
        <v>737</v>
      </c>
      <c r="S48" s="85">
        <v>212.3</v>
      </c>
      <c r="T48" s="85" t="s">
        <v>285</v>
      </c>
      <c r="U48" s="85">
        <v>3.3</v>
      </c>
      <c r="V48" s="85">
        <v>1</v>
      </c>
      <c r="W48" s="85">
        <v>4.3</v>
      </c>
      <c r="X48" s="85" t="s">
        <v>114</v>
      </c>
      <c r="Y48" s="107"/>
      <c r="AB48" s="85">
        <f t="shared" ref="AB48:AB77" si="6">1+AB47</f>
        <v>34</v>
      </c>
      <c r="AC48" s="85" t="s">
        <v>71</v>
      </c>
      <c r="AD48" s="85">
        <v>63</v>
      </c>
      <c r="AE48" s="105" t="s">
        <v>239</v>
      </c>
      <c r="AF48" s="105" t="s">
        <v>738</v>
      </c>
      <c r="AG48" s="85">
        <v>133.4</v>
      </c>
      <c r="AH48" s="85" t="s">
        <v>106</v>
      </c>
      <c r="AI48" s="85">
        <v>3</v>
      </c>
      <c r="AJ48" s="85">
        <v>1</v>
      </c>
      <c r="AK48" s="85">
        <v>4</v>
      </c>
      <c r="AL48" s="85" t="s">
        <v>114</v>
      </c>
      <c r="AM48" s="107"/>
      <c r="AO48" s="85">
        <f t="shared" si="2"/>
        <v>34</v>
      </c>
      <c r="AP48" s="85" t="s">
        <v>71</v>
      </c>
      <c r="AQ48" s="85">
        <v>63</v>
      </c>
      <c r="AR48" s="105" t="s">
        <v>736</v>
      </c>
      <c r="AS48" s="105" t="s">
        <v>739</v>
      </c>
      <c r="AT48" s="85">
        <v>172.3</v>
      </c>
      <c r="AU48" s="85" t="s">
        <v>276</v>
      </c>
      <c r="AV48" s="85">
        <v>3.5</v>
      </c>
      <c r="AW48" s="85">
        <v>1</v>
      </c>
      <c r="AX48" s="85">
        <v>4.5</v>
      </c>
      <c r="AY48" s="85" t="s">
        <v>114</v>
      </c>
      <c r="AZ48" s="107"/>
    </row>
    <row r="49" spans="1:52" s="104" customFormat="1" ht="33.75" customHeight="1">
      <c r="A49" s="85">
        <f t="shared" si="4"/>
        <v>35</v>
      </c>
      <c r="B49" s="85" t="s">
        <v>71</v>
      </c>
      <c r="C49" s="85">
        <v>63</v>
      </c>
      <c r="D49" s="105" t="s">
        <v>241</v>
      </c>
      <c r="E49" s="105" t="s">
        <v>404</v>
      </c>
      <c r="F49" s="85">
        <v>137.1</v>
      </c>
      <c r="G49" s="85" t="s">
        <v>106</v>
      </c>
      <c r="H49" s="85">
        <v>3.5</v>
      </c>
      <c r="I49" s="85">
        <v>1</v>
      </c>
      <c r="J49" s="85">
        <v>4.5</v>
      </c>
      <c r="K49" s="85" t="s">
        <v>114</v>
      </c>
      <c r="L49" s="107"/>
      <c r="N49" s="85">
        <f t="shared" si="5"/>
        <v>35</v>
      </c>
      <c r="O49" s="85" t="s">
        <v>71</v>
      </c>
      <c r="P49" s="85">
        <v>63</v>
      </c>
      <c r="Q49" s="105" t="s">
        <v>737</v>
      </c>
      <c r="R49" s="105" t="s">
        <v>740</v>
      </c>
      <c r="S49" s="85">
        <v>20.8</v>
      </c>
      <c r="T49" s="85" t="s">
        <v>285</v>
      </c>
      <c r="U49" s="85">
        <v>3.3</v>
      </c>
      <c r="V49" s="85">
        <v>1</v>
      </c>
      <c r="W49" s="85">
        <v>4.3</v>
      </c>
      <c r="X49" s="85" t="s">
        <v>114</v>
      </c>
      <c r="Y49" s="107"/>
      <c r="AB49" s="85">
        <f t="shared" si="6"/>
        <v>35</v>
      </c>
      <c r="AC49" s="85" t="s">
        <v>71</v>
      </c>
      <c r="AD49" s="85">
        <v>63</v>
      </c>
      <c r="AE49" s="105" t="s">
        <v>239</v>
      </c>
      <c r="AF49" s="105" t="s">
        <v>741</v>
      </c>
      <c r="AG49" s="85">
        <v>195.1</v>
      </c>
      <c r="AH49" s="85" t="s">
        <v>106</v>
      </c>
      <c r="AI49" s="85">
        <v>3</v>
      </c>
      <c r="AJ49" s="85">
        <v>1</v>
      </c>
      <c r="AK49" s="85">
        <v>4</v>
      </c>
      <c r="AL49" s="85" t="s">
        <v>114</v>
      </c>
      <c r="AM49" s="107"/>
      <c r="AO49" s="85">
        <f t="shared" si="2"/>
        <v>35</v>
      </c>
      <c r="AP49" s="85" t="s">
        <v>71</v>
      </c>
      <c r="AQ49" s="85">
        <v>63</v>
      </c>
      <c r="AR49" s="105" t="s">
        <v>736</v>
      </c>
      <c r="AS49" s="105" t="s">
        <v>662</v>
      </c>
      <c r="AT49" s="85">
        <v>40.6</v>
      </c>
      <c r="AU49" s="85" t="s">
        <v>276</v>
      </c>
      <c r="AV49" s="85">
        <v>3.5</v>
      </c>
      <c r="AW49" s="85">
        <v>1</v>
      </c>
      <c r="AX49" s="85">
        <v>4.5</v>
      </c>
      <c r="AY49" s="85" t="s">
        <v>114</v>
      </c>
      <c r="AZ49" s="107"/>
    </row>
    <row r="50" spans="1:52" s="104" customFormat="1" ht="33.75" customHeight="1">
      <c r="A50" s="85">
        <f t="shared" si="4"/>
        <v>36</v>
      </c>
      <c r="B50" s="85" t="s">
        <v>71</v>
      </c>
      <c r="C50" s="85">
        <v>63</v>
      </c>
      <c r="D50" s="105" t="s">
        <v>520</v>
      </c>
      <c r="E50" s="105" t="s">
        <v>180</v>
      </c>
      <c r="F50" s="85">
        <v>77</v>
      </c>
      <c r="G50" s="85" t="s">
        <v>106</v>
      </c>
      <c r="H50" s="85">
        <v>3.5</v>
      </c>
      <c r="I50" s="85">
        <v>1</v>
      </c>
      <c r="J50" s="85">
        <v>4.5</v>
      </c>
      <c r="K50" s="85" t="s">
        <v>114</v>
      </c>
      <c r="L50" s="107"/>
      <c r="N50" s="85">
        <f t="shared" si="5"/>
        <v>36</v>
      </c>
      <c r="O50" s="85" t="s">
        <v>71</v>
      </c>
      <c r="P50" s="85">
        <v>63</v>
      </c>
      <c r="Q50" s="105" t="s">
        <v>740</v>
      </c>
      <c r="R50" s="105" t="s">
        <v>742</v>
      </c>
      <c r="S50" s="85">
        <v>119.9</v>
      </c>
      <c r="T50" s="85" t="s">
        <v>285</v>
      </c>
      <c r="U50" s="85">
        <v>3.3</v>
      </c>
      <c r="V50" s="85">
        <v>1</v>
      </c>
      <c r="W50" s="85">
        <v>4.3</v>
      </c>
      <c r="X50" s="85" t="s">
        <v>114</v>
      </c>
      <c r="Y50" s="107"/>
      <c r="AB50" s="85">
        <f t="shared" si="6"/>
        <v>36</v>
      </c>
      <c r="AC50" s="85" t="s">
        <v>71</v>
      </c>
      <c r="AD50" s="85">
        <v>63</v>
      </c>
      <c r="AE50" s="105" t="s">
        <v>741</v>
      </c>
      <c r="AF50" s="105" t="s">
        <v>655</v>
      </c>
      <c r="AG50" s="85">
        <v>28.6</v>
      </c>
      <c r="AH50" s="85" t="s">
        <v>106</v>
      </c>
      <c r="AI50" s="85">
        <v>3</v>
      </c>
      <c r="AJ50" s="85">
        <v>1</v>
      </c>
      <c r="AK50" s="85">
        <v>4</v>
      </c>
      <c r="AL50" s="85" t="s">
        <v>114</v>
      </c>
      <c r="AM50" s="107"/>
      <c r="AO50" s="85">
        <f t="shared" ref="AO50:AO102" si="7">1+AO49</f>
        <v>36</v>
      </c>
      <c r="AP50" s="85" t="s">
        <v>71</v>
      </c>
      <c r="AQ50" s="85">
        <v>63</v>
      </c>
      <c r="AR50" s="105" t="s">
        <v>743</v>
      </c>
      <c r="AS50" s="105" t="s">
        <v>744</v>
      </c>
      <c r="AT50" s="85">
        <v>33.299999999999997</v>
      </c>
      <c r="AU50" s="85" t="s">
        <v>276</v>
      </c>
      <c r="AV50" s="85">
        <v>3.5</v>
      </c>
      <c r="AW50" s="85">
        <v>1</v>
      </c>
      <c r="AX50" s="85">
        <v>4.5</v>
      </c>
      <c r="AY50" s="85" t="s">
        <v>114</v>
      </c>
      <c r="AZ50" s="107"/>
    </row>
    <row r="51" spans="1:52" s="104" customFormat="1" ht="33.75" customHeight="1">
      <c r="A51" s="85">
        <f t="shared" si="4"/>
        <v>37</v>
      </c>
      <c r="B51" s="85" t="s">
        <v>71</v>
      </c>
      <c r="C51" s="85">
        <v>75</v>
      </c>
      <c r="D51" s="105" t="s">
        <v>180</v>
      </c>
      <c r="E51" s="105" t="s">
        <v>357</v>
      </c>
      <c r="F51" s="85">
        <v>135.80000000000001</v>
      </c>
      <c r="G51" s="85" t="s">
        <v>106</v>
      </c>
      <c r="H51" s="85">
        <v>3.5</v>
      </c>
      <c r="I51" s="85">
        <v>1</v>
      </c>
      <c r="J51" s="85">
        <v>4.5</v>
      </c>
      <c r="K51" s="85" t="s">
        <v>114</v>
      </c>
      <c r="L51" s="107"/>
      <c r="N51" s="85">
        <f t="shared" si="5"/>
        <v>37</v>
      </c>
      <c r="O51" s="85" t="s">
        <v>71</v>
      </c>
      <c r="P51" s="85">
        <v>63</v>
      </c>
      <c r="Q51" s="105" t="s">
        <v>742</v>
      </c>
      <c r="R51" s="105" t="s">
        <v>745</v>
      </c>
      <c r="S51" s="85">
        <v>96.3</v>
      </c>
      <c r="T51" s="85" t="s">
        <v>285</v>
      </c>
      <c r="U51" s="85">
        <v>3.3</v>
      </c>
      <c r="V51" s="85">
        <v>1</v>
      </c>
      <c r="W51" s="85">
        <v>4.3</v>
      </c>
      <c r="X51" s="85" t="s">
        <v>114</v>
      </c>
      <c r="Y51" s="107"/>
      <c r="AB51" s="85">
        <f t="shared" si="6"/>
        <v>37</v>
      </c>
      <c r="AC51" s="85" t="s">
        <v>71</v>
      </c>
      <c r="AD51" s="85">
        <v>63</v>
      </c>
      <c r="AE51" s="105" t="s">
        <v>655</v>
      </c>
      <c r="AF51" s="105" t="s">
        <v>73</v>
      </c>
      <c r="AG51" s="85">
        <f>4+145.1</f>
        <v>149.1</v>
      </c>
      <c r="AH51" s="85" t="s">
        <v>106</v>
      </c>
      <c r="AI51" s="85">
        <v>3</v>
      </c>
      <c r="AJ51" s="85">
        <v>1</v>
      </c>
      <c r="AK51" s="85">
        <v>4</v>
      </c>
      <c r="AL51" s="85" t="s">
        <v>114</v>
      </c>
      <c r="AM51" s="107"/>
      <c r="AO51" s="85">
        <f t="shared" si="7"/>
        <v>37</v>
      </c>
      <c r="AP51" s="85" t="s">
        <v>71</v>
      </c>
      <c r="AQ51" s="85">
        <v>63</v>
      </c>
      <c r="AR51" s="105" t="s">
        <v>744</v>
      </c>
      <c r="AS51" s="105" t="s">
        <v>746</v>
      </c>
      <c r="AT51" s="85">
        <v>33.200000000000003</v>
      </c>
      <c r="AU51" s="85" t="s">
        <v>276</v>
      </c>
      <c r="AV51" s="85">
        <v>3.5</v>
      </c>
      <c r="AW51" s="85">
        <v>1</v>
      </c>
      <c r="AX51" s="85">
        <v>4.5</v>
      </c>
      <c r="AY51" s="85" t="s">
        <v>114</v>
      </c>
      <c r="AZ51" s="107"/>
    </row>
    <row r="52" spans="1:52" s="104" customFormat="1" ht="33.75" customHeight="1">
      <c r="A52" s="85">
        <f t="shared" si="4"/>
        <v>38</v>
      </c>
      <c r="B52" s="85" t="s">
        <v>71</v>
      </c>
      <c r="C52" s="85">
        <v>140</v>
      </c>
      <c r="D52" s="105" t="s">
        <v>357</v>
      </c>
      <c r="E52" s="105" t="s">
        <v>246</v>
      </c>
      <c r="F52" s="85">
        <v>6.4</v>
      </c>
      <c r="G52" s="85" t="s">
        <v>106</v>
      </c>
      <c r="H52" s="85">
        <v>3.5</v>
      </c>
      <c r="I52" s="85">
        <v>1</v>
      </c>
      <c r="J52" s="85">
        <v>4.5</v>
      </c>
      <c r="K52" s="85" t="s">
        <v>114</v>
      </c>
      <c r="L52" s="107"/>
      <c r="N52" s="85">
        <f t="shared" si="5"/>
        <v>38</v>
      </c>
      <c r="O52" s="85" t="s">
        <v>71</v>
      </c>
      <c r="P52" s="85">
        <v>63</v>
      </c>
      <c r="Q52" s="105" t="s">
        <v>747</v>
      </c>
      <c r="R52" s="105" t="s">
        <v>748</v>
      </c>
      <c r="S52" s="85">
        <v>224.8</v>
      </c>
      <c r="T52" s="85" t="s">
        <v>285</v>
      </c>
      <c r="U52" s="85">
        <v>3.3</v>
      </c>
      <c r="V52" s="85">
        <v>1</v>
      </c>
      <c r="W52" s="85">
        <v>4.3</v>
      </c>
      <c r="X52" s="85" t="s">
        <v>114</v>
      </c>
      <c r="Y52" s="107"/>
      <c r="AB52" s="85">
        <f t="shared" si="6"/>
        <v>38</v>
      </c>
      <c r="AC52" s="85" t="s">
        <v>71</v>
      </c>
      <c r="AD52" s="85">
        <v>63</v>
      </c>
      <c r="AE52" s="105" t="s">
        <v>397</v>
      </c>
      <c r="AF52" s="105" t="s">
        <v>661</v>
      </c>
      <c r="AG52" s="85">
        <v>251.7</v>
      </c>
      <c r="AH52" s="85" t="s">
        <v>106</v>
      </c>
      <c r="AI52" s="85">
        <v>3</v>
      </c>
      <c r="AJ52" s="85">
        <v>1</v>
      </c>
      <c r="AK52" s="85">
        <v>4</v>
      </c>
      <c r="AL52" s="85" t="s">
        <v>114</v>
      </c>
      <c r="AM52" s="107"/>
      <c r="AO52" s="85">
        <f t="shared" si="7"/>
        <v>38</v>
      </c>
      <c r="AP52" s="85" t="s">
        <v>71</v>
      </c>
      <c r="AQ52" s="85">
        <v>63</v>
      </c>
      <c r="AR52" s="105" t="s">
        <v>746</v>
      </c>
      <c r="AS52" s="105" t="s">
        <v>749</v>
      </c>
      <c r="AT52" s="85">
        <v>39.799999999999997</v>
      </c>
      <c r="AU52" s="85" t="s">
        <v>276</v>
      </c>
      <c r="AV52" s="85">
        <v>3.5</v>
      </c>
      <c r="AW52" s="85">
        <v>1</v>
      </c>
      <c r="AX52" s="85">
        <v>4.5</v>
      </c>
      <c r="AY52" s="85" t="s">
        <v>114</v>
      </c>
      <c r="AZ52" s="107"/>
    </row>
    <row r="53" spans="1:52" s="104" customFormat="1" ht="33.75" customHeight="1">
      <c r="A53" s="85">
        <f t="shared" si="4"/>
        <v>39</v>
      </c>
      <c r="B53" s="85" t="s">
        <v>71</v>
      </c>
      <c r="C53" s="85">
        <v>140</v>
      </c>
      <c r="D53" s="105" t="s">
        <v>246</v>
      </c>
      <c r="E53" s="105" t="s">
        <v>217</v>
      </c>
      <c r="F53" s="85">
        <v>110</v>
      </c>
      <c r="G53" s="85" t="s">
        <v>106</v>
      </c>
      <c r="H53" s="85">
        <v>3.5</v>
      </c>
      <c r="I53" s="85">
        <v>1</v>
      </c>
      <c r="J53" s="85">
        <v>4.5</v>
      </c>
      <c r="K53" s="85" t="s">
        <v>114</v>
      </c>
      <c r="L53" s="107"/>
      <c r="N53" s="85">
        <f t="shared" si="5"/>
        <v>39</v>
      </c>
      <c r="O53" s="85" t="s">
        <v>71</v>
      </c>
      <c r="P53" s="85">
        <v>63</v>
      </c>
      <c r="Q53" s="105" t="s">
        <v>742</v>
      </c>
      <c r="R53" s="105" t="s">
        <v>750</v>
      </c>
      <c r="S53" s="85">
        <v>29.8</v>
      </c>
      <c r="T53" s="85" t="s">
        <v>285</v>
      </c>
      <c r="U53" s="85">
        <v>3.3</v>
      </c>
      <c r="V53" s="85">
        <v>1</v>
      </c>
      <c r="W53" s="85">
        <v>4.3</v>
      </c>
      <c r="X53" s="85" t="s">
        <v>114</v>
      </c>
      <c r="Y53" s="107"/>
      <c r="AB53" s="85">
        <f t="shared" si="6"/>
        <v>39</v>
      </c>
      <c r="AC53" s="85" t="s">
        <v>71</v>
      </c>
      <c r="AD53" s="85">
        <v>63</v>
      </c>
      <c r="AE53" s="105" t="s">
        <v>661</v>
      </c>
      <c r="AF53" s="105" t="s">
        <v>218</v>
      </c>
      <c r="AG53" s="85">
        <v>101.6</v>
      </c>
      <c r="AH53" s="85" t="s">
        <v>106</v>
      </c>
      <c r="AI53" s="85">
        <v>3</v>
      </c>
      <c r="AJ53" s="85">
        <v>1</v>
      </c>
      <c r="AK53" s="85">
        <v>4</v>
      </c>
      <c r="AL53" s="85" t="s">
        <v>114</v>
      </c>
      <c r="AM53" s="107"/>
      <c r="AO53" s="85">
        <f t="shared" si="7"/>
        <v>39</v>
      </c>
      <c r="AP53" s="85" t="s">
        <v>71</v>
      </c>
      <c r="AQ53" s="85">
        <v>63</v>
      </c>
      <c r="AR53" s="105" t="s">
        <v>749</v>
      </c>
      <c r="AS53" s="105" t="s">
        <v>751</v>
      </c>
      <c r="AT53" s="85">
        <v>11</v>
      </c>
      <c r="AU53" s="85" t="s">
        <v>276</v>
      </c>
      <c r="AV53" s="85">
        <v>3.5</v>
      </c>
      <c r="AW53" s="85">
        <v>1</v>
      </c>
      <c r="AX53" s="85">
        <v>4.5</v>
      </c>
      <c r="AY53" s="85" t="s">
        <v>114</v>
      </c>
      <c r="AZ53" s="107"/>
    </row>
    <row r="54" spans="1:52" s="104" customFormat="1" ht="33.75" customHeight="1">
      <c r="A54" s="85">
        <f t="shared" si="4"/>
        <v>40</v>
      </c>
      <c r="B54" s="85" t="s">
        <v>71</v>
      </c>
      <c r="C54" s="85">
        <v>110</v>
      </c>
      <c r="D54" s="105" t="s">
        <v>217</v>
      </c>
      <c r="E54" s="105" t="s">
        <v>72</v>
      </c>
      <c r="F54" s="85">
        <v>56.7</v>
      </c>
      <c r="G54" s="85" t="s">
        <v>106</v>
      </c>
      <c r="H54" s="85">
        <v>3.5</v>
      </c>
      <c r="I54" s="85">
        <v>1</v>
      </c>
      <c r="J54" s="85">
        <v>4.5</v>
      </c>
      <c r="K54" s="85" t="s">
        <v>114</v>
      </c>
      <c r="L54" s="107"/>
      <c r="N54" s="85">
        <f t="shared" si="5"/>
        <v>40</v>
      </c>
      <c r="O54" s="85" t="s">
        <v>71</v>
      </c>
      <c r="P54" s="85">
        <v>63</v>
      </c>
      <c r="Q54" s="105" t="s">
        <v>750</v>
      </c>
      <c r="R54" s="105" t="s">
        <v>673</v>
      </c>
      <c r="S54" s="85">
        <v>29.9</v>
      </c>
      <c r="T54" s="85" t="s">
        <v>285</v>
      </c>
      <c r="U54" s="85">
        <v>3.3</v>
      </c>
      <c r="V54" s="85">
        <v>1</v>
      </c>
      <c r="W54" s="85">
        <v>4.3</v>
      </c>
      <c r="X54" s="85" t="s">
        <v>114</v>
      </c>
      <c r="Y54" s="107"/>
      <c r="AB54" s="85">
        <f t="shared" si="6"/>
        <v>40</v>
      </c>
      <c r="AC54" s="85" t="s">
        <v>71</v>
      </c>
      <c r="AD54" s="85">
        <v>63</v>
      </c>
      <c r="AE54" s="105" t="s">
        <v>218</v>
      </c>
      <c r="AF54" s="105" t="s">
        <v>294</v>
      </c>
      <c r="AG54" s="85">
        <v>106.6</v>
      </c>
      <c r="AH54" s="85" t="s">
        <v>106</v>
      </c>
      <c r="AI54" s="85">
        <v>3</v>
      </c>
      <c r="AJ54" s="85">
        <v>1</v>
      </c>
      <c r="AK54" s="85">
        <v>4</v>
      </c>
      <c r="AL54" s="85" t="s">
        <v>114</v>
      </c>
      <c r="AM54" s="107"/>
      <c r="AO54" s="85">
        <f t="shared" si="7"/>
        <v>40</v>
      </c>
      <c r="AP54" s="85" t="s">
        <v>71</v>
      </c>
      <c r="AQ54" s="85">
        <v>63</v>
      </c>
      <c r="AR54" s="105" t="s">
        <v>712</v>
      </c>
      <c r="AS54" s="105" t="s">
        <v>752</v>
      </c>
      <c r="AT54" s="85">
        <v>228.9</v>
      </c>
      <c r="AU54" s="85" t="s">
        <v>276</v>
      </c>
      <c r="AV54" s="85">
        <v>3.5</v>
      </c>
      <c r="AW54" s="85">
        <v>1</v>
      </c>
      <c r="AX54" s="85">
        <v>4.5</v>
      </c>
      <c r="AY54" s="85" t="s">
        <v>114</v>
      </c>
      <c r="AZ54" s="107"/>
    </row>
    <row r="55" spans="1:52" s="104" customFormat="1" ht="33.75" customHeight="1">
      <c r="A55" s="85">
        <f t="shared" si="4"/>
        <v>41</v>
      </c>
      <c r="B55" s="85" t="s">
        <v>71</v>
      </c>
      <c r="C55" s="85">
        <v>63</v>
      </c>
      <c r="D55" s="105" t="s">
        <v>72</v>
      </c>
      <c r="E55" s="105" t="s">
        <v>243</v>
      </c>
      <c r="F55" s="85">
        <v>12</v>
      </c>
      <c r="G55" s="85" t="s">
        <v>106</v>
      </c>
      <c r="H55" s="85">
        <v>3.5</v>
      </c>
      <c r="I55" s="85">
        <v>1</v>
      </c>
      <c r="J55" s="85">
        <v>4.5</v>
      </c>
      <c r="K55" s="85" t="s">
        <v>114</v>
      </c>
      <c r="L55" s="107"/>
      <c r="N55" s="85">
        <f t="shared" si="5"/>
        <v>41</v>
      </c>
      <c r="O55" s="85" t="s">
        <v>71</v>
      </c>
      <c r="P55" s="85">
        <v>63</v>
      </c>
      <c r="Q55" s="105" t="s">
        <v>673</v>
      </c>
      <c r="R55" s="105" t="s">
        <v>753</v>
      </c>
      <c r="S55" s="85">
        <v>100.3</v>
      </c>
      <c r="T55" s="85" t="s">
        <v>285</v>
      </c>
      <c r="U55" s="85">
        <v>3.3</v>
      </c>
      <c r="V55" s="85">
        <v>1</v>
      </c>
      <c r="W55" s="85">
        <v>4.3</v>
      </c>
      <c r="X55" s="85" t="s">
        <v>114</v>
      </c>
      <c r="Y55" s="107"/>
      <c r="AB55" s="85">
        <f t="shared" si="6"/>
        <v>41</v>
      </c>
      <c r="AC55" s="85" t="s">
        <v>71</v>
      </c>
      <c r="AD55" s="85">
        <v>63</v>
      </c>
      <c r="AE55" s="105" t="s">
        <v>754</v>
      </c>
      <c r="AF55" s="105" t="s">
        <v>206</v>
      </c>
      <c r="AG55" s="85">
        <v>8.1999999999999993</v>
      </c>
      <c r="AH55" s="85" t="s">
        <v>106</v>
      </c>
      <c r="AI55" s="85">
        <v>3</v>
      </c>
      <c r="AJ55" s="85">
        <v>1</v>
      </c>
      <c r="AK55" s="85">
        <v>4</v>
      </c>
      <c r="AL55" s="85" t="s">
        <v>114</v>
      </c>
      <c r="AM55" s="107"/>
      <c r="AO55" s="85">
        <f t="shared" si="7"/>
        <v>41</v>
      </c>
      <c r="AP55" s="85" t="s">
        <v>71</v>
      </c>
      <c r="AQ55" s="85">
        <v>63</v>
      </c>
      <c r="AR55" s="105" t="s">
        <v>755</v>
      </c>
      <c r="AS55" s="105" t="s">
        <v>571</v>
      </c>
      <c r="AT55" s="85">
        <v>251</v>
      </c>
      <c r="AU55" s="85" t="s">
        <v>276</v>
      </c>
      <c r="AV55" s="85">
        <v>3.5</v>
      </c>
      <c r="AW55" s="85">
        <v>1</v>
      </c>
      <c r="AX55" s="85">
        <v>4.5</v>
      </c>
      <c r="AY55" s="85" t="s">
        <v>114</v>
      </c>
      <c r="AZ55" s="107"/>
    </row>
    <row r="56" spans="1:52" s="104" customFormat="1" ht="33.75" customHeight="1">
      <c r="A56" s="85">
        <f t="shared" si="4"/>
        <v>42</v>
      </c>
      <c r="B56" s="85" t="s">
        <v>71</v>
      </c>
      <c r="C56" s="85">
        <v>63</v>
      </c>
      <c r="D56" s="105" t="s">
        <v>205</v>
      </c>
      <c r="E56" s="105" t="s">
        <v>241</v>
      </c>
      <c r="F56" s="85">
        <v>33.799999999999997</v>
      </c>
      <c r="G56" s="85" t="s">
        <v>106</v>
      </c>
      <c r="H56" s="85">
        <v>3.5</v>
      </c>
      <c r="I56" s="85">
        <v>1</v>
      </c>
      <c r="J56" s="85">
        <v>4.5</v>
      </c>
      <c r="K56" s="85" t="s">
        <v>114</v>
      </c>
      <c r="L56" s="107"/>
      <c r="N56" s="85">
        <f t="shared" si="5"/>
        <v>42</v>
      </c>
      <c r="O56" s="85" t="s">
        <v>71</v>
      </c>
      <c r="P56" s="85">
        <v>63</v>
      </c>
      <c r="Q56" s="105" t="s">
        <v>692</v>
      </c>
      <c r="R56" s="105" t="s">
        <v>756</v>
      </c>
      <c r="S56" s="85">
        <v>28.6</v>
      </c>
      <c r="T56" s="85" t="s">
        <v>285</v>
      </c>
      <c r="U56" s="85">
        <v>3.3</v>
      </c>
      <c r="V56" s="85">
        <v>1</v>
      </c>
      <c r="W56" s="85">
        <v>4.3</v>
      </c>
      <c r="X56" s="85" t="s">
        <v>114</v>
      </c>
      <c r="Y56" s="107"/>
      <c r="AB56" s="85">
        <f t="shared" si="6"/>
        <v>42</v>
      </c>
      <c r="AC56" s="85" t="s">
        <v>71</v>
      </c>
      <c r="AD56" s="85">
        <v>63</v>
      </c>
      <c r="AE56" s="105" t="s">
        <v>206</v>
      </c>
      <c r="AF56" s="105" t="s">
        <v>342</v>
      </c>
      <c r="AG56" s="85">
        <v>131</v>
      </c>
      <c r="AH56" s="85" t="s">
        <v>106</v>
      </c>
      <c r="AI56" s="85">
        <v>3</v>
      </c>
      <c r="AJ56" s="85">
        <v>1</v>
      </c>
      <c r="AK56" s="85">
        <v>4</v>
      </c>
      <c r="AL56" s="85" t="s">
        <v>114</v>
      </c>
      <c r="AM56" s="107"/>
      <c r="AO56" s="85">
        <f t="shared" si="7"/>
        <v>42</v>
      </c>
      <c r="AP56" s="85" t="s">
        <v>71</v>
      </c>
      <c r="AQ56" s="85">
        <v>63</v>
      </c>
      <c r="AR56" s="105" t="s">
        <v>757</v>
      </c>
      <c r="AS56" s="105" t="s">
        <v>758</v>
      </c>
      <c r="AT56" s="85">
        <v>33.200000000000003</v>
      </c>
      <c r="AU56" s="85" t="s">
        <v>276</v>
      </c>
      <c r="AV56" s="85">
        <v>3.5</v>
      </c>
      <c r="AW56" s="85">
        <v>1</v>
      </c>
      <c r="AX56" s="85">
        <v>4.5</v>
      </c>
      <c r="AY56" s="85" t="s">
        <v>114</v>
      </c>
      <c r="AZ56" s="107"/>
    </row>
    <row r="57" spans="1:52" s="104" customFormat="1" ht="33.75" customHeight="1">
      <c r="A57" s="85">
        <f t="shared" si="4"/>
        <v>43</v>
      </c>
      <c r="B57" s="85" t="s">
        <v>71</v>
      </c>
      <c r="C57" s="85">
        <v>63</v>
      </c>
      <c r="D57" s="105" t="s">
        <v>520</v>
      </c>
      <c r="E57" s="105" t="s">
        <v>180</v>
      </c>
      <c r="F57" s="85">
        <v>95.6</v>
      </c>
      <c r="G57" s="85" t="s">
        <v>106</v>
      </c>
      <c r="H57" s="85">
        <v>3.5</v>
      </c>
      <c r="I57" s="85">
        <v>1</v>
      </c>
      <c r="J57" s="85">
        <v>4.5</v>
      </c>
      <c r="K57" s="85" t="s">
        <v>114</v>
      </c>
      <c r="L57" s="107"/>
      <c r="N57" s="85">
        <f t="shared" si="5"/>
        <v>43</v>
      </c>
      <c r="O57" s="85" t="s">
        <v>71</v>
      </c>
      <c r="P57" s="85">
        <v>63</v>
      </c>
      <c r="Q57" s="105" t="s">
        <v>756</v>
      </c>
      <c r="R57" s="105" t="s">
        <v>759</v>
      </c>
      <c r="S57" s="85">
        <v>41.9</v>
      </c>
      <c r="T57" s="85" t="s">
        <v>285</v>
      </c>
      <c r="U57" s="85">
        <v>3.3</v>
      </c>
      <c r="V57" s="85">
        <v>1</v>
      </c>
      <c r="W57" s="85">
        <v>4.3</v>
      </c>
      <c r="X57" s="85" t="s">
        <v>114</v>
      </c>
      <c r="Y57" s="107"/>
      <c r="AB57" s="85">
        <f t="shared" si="6"/>
        <v>43</v>
      </c>
      <c r="AC57" s="85" t="s">
        <v>71</v>
      </c>
      <c r="AD57" s="85">
        <v>63</v>
      </c>
      <c r="AE57" s="105" t="s">
        <v>381</v>
      </c>
      <c r="AF57" s="105" t="s">
        <v>760</v>
      </c>
      <c r="AG57" s="85">
        <v>93</v>
      </c>
      <c r="AH57" s="85" t="s">
        <v>106</v>
      </c>
      <c r="AI57" s="85">
        <v>3</v>
      </c>
      <c r="AJ57" s="85">
        <v>1</v>
      </c>
      <c r="AK57" s="85">
        <v>4</v>
      </c>
      <c r="AL57" s="85" t="s">
        <v>114</v>
      </c>
      <c r="AM57" s="107"/>
      <c r="AO57" s="85">
        <f t="shared" si="7"/>
        <v>43</v>
      </c>
      <c r="AP57" s="85" t="s">
        <v>71</v>
      </c>
      <c r="AQ57" s="85">
        <v>63</v>
      </c>
      <c r="AR57" s="105" t="s">
        <v>758</v>
      </c>
      <c r="AS57" s="105" t="s">
        <v>761</v>
      </c>
      <c r="AT57" s="85">
        <v>23.2</v>
      </c>
      <c r="AU57" s="85" t="s">
        <v>276</v>
      </c>
      <c r="AV57" s="85">
        <v>3.5</v>
      </c>
      <c r="AW57" s="85">
        <v>1</v>
      </c>
      <c r="AX57" s="85">
        <v>4.5</v>
      </c>
      <c r="AY57" s="85" t="s">
        <v>114</v>
      </c>
      <c r="AZ57" s="107"/>
    </row>
    <row r="58" spans="1:52" s="104" customFormat="1" ht="33.75" customHeight="1">
      <c r="A58" s="85">
        <f t="shared" si="4"/>
        <v>44</v>
      </c>
      <c r="B58" s="85" t="s">
        <v>71</v>
      </c>
      <c r="C58" s="85">
        <v>63</v>
      </c>
      <c r="D58" s="105" t="s">
        <v>536</v>
      </c>
      <c r="E58" s="105" t="s">
        <v>247</v>
      </c>
      <c r="F58" s="85">
        <v>10</v>
      </c>
      <c r="G58" s="85" t="s">
        <v>106</v>
      </c>
      <c r="H58" s="85">
        <v>3.5</v>
      </c>
      <c r="I58" s="85">
        <v>1</v>
      </c>
      <c r="J58" s="85">
        <v>4.5</v>
      </c>
      <c r="K58" s="85" t="s">
        <v>114</v>
      </c>
      <c r="L58" s="107"/>
      <c r="N58" s="85">
        <f t="shared" si="5"/>
        <v>44</v>
      </c>
      <c r="O58" s="85" t="s">
        <v>71</v>
      </c>
      <c r="P58" s="85">
        <v>63</v>
      </c>
      <c r="Q58" s="105" t="s">
        <v>756</v>
      </c>
      <c r="R58" s="105" t="s">
        <v>762</v>
      </c>
      <c r="S58" s="85">
        <v>135.9</v>
      </c>
      <c r="T58" s="85" t="s">
        <v>285</v>
      </c>
      <c r="U58" s="85">
        <v>3.3</v>
      </c>
      <c r="V58" s="85">
        <v>1</v>
      </c>
      <c r="W58" s="85">
        <v>4.3</v>
      </c>
      <c r="X58" s="85" t="s">
        <v>114</v>
      </c>
      <c r="Y58" s="107"/>
      <c r="AB58" s="85">
        <f t="shared" si="6"/>
        <v>44</v>
      </c>
      <c r="AC58" s="85" t="s">
        <v>71</v>
      </c>
      <c r="AD58" s="85">
        <v>63</v>
      </c>
      <c r="AE58" s="105" t="s">
        <v>231</v>
      </c>
      <c r="AF58" s="105" t="s">
        <v>335</v>
      </c>
      <c r="AG58" s="85">
        <v>452.4</v>
      </c>
      <c r="AH58" s="85" t="s">
        <v>106</v>
      </c>
      <c r="AI58" s="85">
        <v>3</v>
      </c>
      <c r="AJ58" s="85">
        <v>1</v>
      </c>
      <c r="AK58" s="85">
        <v>4</v>
      </c>
      <c r="AL58" s="85" t="s">
        <v>114</v>
      </c>
      <c r="AM58" s="107"/>
      <c r="AO58" s="85">
        <f t="shared" si="7"/>
        <v>44</v>
      </c>
      <c r="AP58" s="85" t="s">
        <v>71</v>
      </c>
      <c r="AQ58" s="85">
        <v>63</v>
      </c>
      <c r="AR58" s="105" t="s">
        <v>761</v>
      </c>
      <c r="AS58" s="105" t="s">
        <v>763</v>
      </c>
      <c r="AT58" s="85">
        <v>16.899999999999999</v>
      </c>
      <c r="AU58" s="85" t="s">
        <v>276</v>
      </c>
      <c r="AV58" s="85">
        <v>3.5</v>
      </c>
      <c r="AW58" s="85">
        <v>1</v>
      </c>
      <c r="AX58" s="85">
        <v>4.5</v>
      </c>
      <c r="AY58" s="85" t="s">
        <v>114</v>
      </c>
      <c r="AZ58" s="107"/>
    </row>
    <row r="59" spans="1:52" s="104" customFormat="1" ht="33.75" customHeight="1">
      <c r="A59" s="85">
        <f t="shared" si="4"/>
        <v>45</v>
      </c>
      <c r="B59" s="85" t="s">
        <v>71</v>
      </c>
      <c r="C59" s="85">
        <v>63</v>
      </c>
      <c r="D59" s="105" t="s">
        <v>237</v>
      </c>
      <c r="E59" s="105" t="s">
        <v>148</v>
      </c>
      <c r="F59" s="85">
        <v>25</v>
      </c>
      <c r="G59" s="85" t="s">
        <v>106</v>
      </c>
      <c r="H59" s="85">
        <v>3.5</v>
      </c>
      <c r="I59" s="85">
        <v>1</v>
      </c>
      <c r="J59" s="85">
        <v>4.5</v>
      </c>
      <c r="K59" s="85" t="s">
        <v>114</v>
      </c>
      <c r="L59" s="107"/>
      <c r="N59" s="85">
        <f t="shared" si="5"/>
        <v>45</v>
      </c>
      <c r="O59" s="85" t="s">
        <v>71</v>
      </c>
      <c r="P59" s="85">
        <v>63</v>
      </c>
      <c r="Q59" s="105" t="s">
        <v>762</v>
      </c>
      <c r="R59" s="105" t="s">
        <v>764</v>
      </c>
      <c r="S59" s="85">
        <v>44.1</v>
      </c>
      <c r="T59" s="85" t="s">
        <v>285</v>
      </c>
      <c r="U59" s="85">
        <v>3.3</v>
      </c>
      <c r="V59" s="85">
        <v>1</v>
      </c>
      <c r="W59" s="85">
        <v>4.3</v>
      </c>
      <c r="X59" s="85" t="s">
        <v>114</v>
      </c>
      <c r="Y59" s="107"/>
      <c r="AB59" s="85">
        <f t="shared" si="6"/>
        <v>45</v>
      </c>
      <c r="AC59" s="85" t="s">
        <v>71</v>
      </c>
      <c r="AD59" s="85">
        <v>63</v>
      </c>
      <c r="AE59" s="105" t="s">
        <v>335</v>
      </c>
      <c r="AF59" s="105" t="s">
        <v>195</v>
      </c>
      <c r="AG59" s="85">
        <v>72.3</v>
      </c>
      <c r="AH59" s="85" t="s">
        <v>106</v>
      </c>
      <c r="AI59" s="85">
        <v>3</v>
      </c>
      <c r="AJ59" s="85">
        <v>1</v>
      </c>
      <c r="AK59" s="85">
        <v>4</v>
      </c>
      <c r="AL59" s="85" t="s">
        <v>114</v>
      </c>
      <c r="AM59" s="107"/>
      <c r="AO59" s="85">
        <f t="shared" si="7"/>
        <v>45</v>
      </c>
      <c r="AP59" s="85" t="s">
        <v>71</v>
      </c>
      <c r="AQ59" s="85">
        <v>63</v>
      </c>
      <c r="AR59" s="105" t="s">
        <v>765</v>
      </c>
      <c r="AS59" s="105" t="s">
        <v>354</v>
      </c>
      <c r="AT59" s="85">
        <v>91.4</v>
      </c>
      <c r="AU59" s="85" t="s">
        <v>276</v>
      </c>
      <c r="AV59" s="85">
        <v>3.5</v>
      </c>
      <c r="AW59" s="85">
        <v>1</v>
      </c>
      <c r="AX59" s="85">
        <v>4.5</v>
      </c>
      <c r="AY59" s="85" t="s">
        <v>114</v>
      </c>
      <c r="AZ59" s="107"/>
    </row>
    <row r="60" spans="1:52" s="104" customFormat="1" ht="33.75" customHeight="1">
      <c r="A60" s="85">
        <f t="shared" si="4"/>
        <v>46</v>
      </c>
      <c r="B60" s="85" t="s">
        <v>71</v>
      </c>
      <c r="C60" s="85">
        <v>63</v>
      </c>
      <c r="D60" s="105" t="s">
        <v>668</v>
      </c>
      <c r="E60" s="105" t="s">
        <v>615</v>
      </c>
      <c r="F60" s="85">
        <v>56.6</v>
      </c>
      <c r="G60" s="85" t="s">
        <v>106</v>
      </c>
      <c r="H60" s="85">
        <v>3.5</v>
      </c>
      <c r="I60" s="85">
        <v>1</v>
      </c>
      <c r="J60" s="85">
        <v>4.5</v>
      </c>
      <c r="K60" s="85" t="s">
        <v>114</v>
      </c>
      <c r="L60" s="107"/>
      <c r="N60" s="85">
        <f t="shared" si="5"/>
        <v>46</v>
      </c>
      <c r="O60" s="85" t="s">
        <v>71</v>
      </c>
      <c r="P60" s="85">
        <v>75</v>
      </c>
      <c r="Q60" s="105" t="s">
        <v>764</v>
      </c>
      <c r="R60" s="105" t="s">
        <v>766</v>
      </c>
      <c r="S60" s="85">
        <v>33.4</v>
      </c>
      <c r="T60" s="85" t="s">
        <v>285</v>
      </c>
      <c r="U60" s="85">
        <v>3.3</v>
      </c>
      <c r="V60" s="85">
        <v>1</v>
      </c>
      <c r="W60" s="85">
        <v>4.3</v>
      </c>
      <c r="X60" s="85" t="s">
        <v>114</v>
      </c>
      <c r="Y60" s="107"/>
      <c r="AB60" s="85">
        <f t="shared" si="6"/>
        <v>46</v>
      </c>
      <c r="AC60" s="85" t="s">
        <v>71</v>
      </c>
      <c r="AD60" s="85">
        <v>63</v>
      </c>
      <c r="AE60" s="105" t="s">
        <v>335</v>
      </c>
      <c r="AF60" s="105" t="s">
        <v>219</v>
      </c>
      <c r="AG60" s="85">
        <v>108.5</v>
      </c>
      <c r="AH60" s="85" t="s">
        <v>106</v>
      </c>
      <c r="AI60" s="85">
        <v>3</v>
      </c>
      <c r="AJ60" s="85">
        <v>1</v>
      </c>
      <c r="AK60" s="85">
        <v>4</v>
      </c>
      <c r="AL60" s="85" t="s">
        <v>114</v>
      </c>
      <c r="AM60" s="107"/>
      <c r="AO60" s="85">
        <f t="shared" si="7"/>
        <v>46</v>
      </c>
      <c r="AP60" s="85" t="s">
        <v>71</v>
      </c>
      <c r="AQ60" s="85">
        <v>63</v>
      </c>
      <c r="AR60" s="105" t="s">
        <v>354</v>
      </c>
      <c r="AS60" s="105" t="s">
        <v>680</v>
      </c>
      <c r="AT60" s="85">
        <v>46.1</v>
      </c>
      <c r="AU60" s="85" t="s">
        <v>276</v>
      </c>
      <c r="AV60" s="85">
        <v>3.5</v>
      </c>
      <c r="AW60" s="85">
        <v>1</v>
      </c>
      <c r="AX60" s="85">
        <v>4.5</v>
      </c>
      <c r="AY60" s="85" t="s">
        <v>114</v>
      </c>
      <c r="AZ60" s="107"/>
    </row>
    <row r="61" spans="1:52" s="104" customFormat="1" ht="33.75" customHeight="1">
      <c r="A61" s="85">
        <f t="shared" si="4"/>
        <v>47</v>
      </c>
      <c r="B61" s="85" t="s">
        <v>71</v>
      </c>
      <c r="C61" s="85">
        <v>63</v>
      </c>
      <c r="D61" s="105" t="s">
        <v>722</v>
      </c>
      <c r="E61" s="105" t="s">
        <v>719</v>
      </c>
      <c r="F61" s="85">
        <v>86.3</v>
      </c>
      <c r="G61" s="85" t="s">
        <v>106</v>
      </c>
      <c r="H61" s="85">
        <v>3.5</v>
      </c>
      <c r="I61" s="85">
        <v>1</v>
      </c>
      <c r="J61" s="85">
        <v>4.5</v>
      </c>
      <c r="K61" s="85" t="s">
        <v>114</v>
      </c>
      <c r="L61" s="107"/>
      <c r="N61" s="85">
        <f t="shared" si="5"/>
        <v>47</v>
      </c>
      <c r="O61" s="85" t="s">
        <v>71</v>
      </c>
      <c r="P61" s="85">
        <v>63</v>
      </c>
      <c r="Q61" s="105" t="s">
        <v>762</v>
      </c>
      <c r="R61" s="105" t="s">
        <v>767</v>
      </c>
      <c r="S61" s="85">
        <v>52.2</v>
      </c>
      <c r="T61" s="85" t="s">
        <v>285</v>
      </c>
      <c r="U61" s="85">
        <v>3.3</v>
      </c>
      <c r="V61" s="85">
        <v>1</v>
      </c>
      <c r="W61" s="85">
        <v>4.3</v>
      </c>
      <c r="X61" s="85" t="s">
        <v>114</v>
      </c>
      <c r="Y61" s="107"/>
      <c r="AB61" s="85">
        <f t="shared" si="6"/>
        <v>47</v>
      </c>
      <c r="AC61" s="85" t="s">
        <v>71</v>
      </c>
      <c r="AD61" s="85">
        <v>75</v>
      </c>
      <c r="AE61" s="105" t="s">
        <v>760</v>
      </c>
      <c r="AF61" s="105" t="s">
        <v>768</v>
      </c>
      <c r="AG61" s="85">
        <v>45.7</v>
      </c>
      <c r="AH61" s="85" t="s">
        <v>106</v>
      </c>
      <c r="AI61" s="85">
        <v>3</v>
      </c>
      <c r="AJ61" s="85">
        <v>1</v>
      </c>
      <c r="AK61" s="85">
        <v>4</v>
      </c>
      <c r="AL61" s="85" t="s">
        <v>114</v>
      </c>
      <c r="AM61" s="107"/>
      <c r="AO61" s="85">
        <f t="shared" si="7"/>
        <v>47</v>
      </c>
      <c r="AP61" s="85" t="s">
        <v>71</v>
      </c>
      <c r="AQ61" s="85">
        <v>90</v>
      </c>
      <c r="AR61" s="105" t="s">
        <v>222</v>
      </c>
      <c r="AS61" s="105" t="s">
        <v>765</v>
      </c>
      <c r="AT61" s="85">
        <v>60.6</v>
      </c>
      <c r="AU61" s="85" t="s">
        <v>276</v>
      </c>
      <c r="AV61" s="85">
        <v>3.5</v>
      </c>
      <c r="AW61" s="85">
        <v>1</v>
      </c>
      <c r="AX61" s="85">
        <v>4.5</v>
      </c>
      <c r="AY61" s="85" t="s">
        <v>114</v>
      </c>
      <c r="AZ61" s="107"/>
    </row>
    <row r="62" spans="1:52" s="104" customFormat="1" ht="33.75" customHeight="1">
      <c r="A62" s="85">
        <f t="shared" si="4"/>
        <v>48</v>
      </c>
      <c r="B62" s="85" t="s">
        <v>71</v>
      </c>
      <c r="C62" s="85">
        <v>63</v>
      </c>
      <c r="D62" s="105" t="s">
        <v>742</v>
      </c>
      <c r="E62" s="105" t="s">
        <v>750</v>
      </c>
      <c r="F62" s="85">
        <v>29.8</v>
      </c>
      <c r="G62" s="85" t="s">
        <v>106</v>
      </c>
      <c r="H62" s="85">
        <v>3.5</v>
      </c>
      <c r="I62" s="85">
        <v>1</v>
      </c>
      <c r="J62" s="85">
        <v>4.5</v>
      </c>
      <c r="K62" s="85" t="s">
        <v>114</v>
      </c>
      <c r="L62" s="107"/>
      <c r="N62" s="85">
        <f t="shared" si="5"/>
        <v>48</v>
      </c>
      <c r="O62" s="85" t="s">
        <v>71</v>
      </c>
      <c r="P62" s="85">
        <v>75</v>
      </c>
      <c r="Q62" s="105" t="s">
        <v>767</v>
      </c>
      <c r="R62" s="105" t="s">
        <v>764</v>
      </c>
      <c r="S62" s="85">
        <v>63.1</v>
      </c>
      <c r="T62" s="85" t="s">
        <v>285</v>
      </c>
      <c r="U62" s="85">
        <v>3.3</v>
      </c>
      <c r="V62" s="85">
        <v>1</v>
      </c>
      <c r="W62" s="85">
        <v>4.3</v>
      </c>
      <c r="X62" s="85" t="s">
        <v>114</v>
      </c>
      <c r="Y62" s="107"/>
      <c r="AB62" s="85">
        <f t="shared" si="6"/>
        <v>48</v>
      </c>
      <c r="AC62" s="85" t="s">
        <v>71</v>
      </c>
      <c r="AD62" s="85">
        <v>63</v>
      </c>
      <c r="AE62" s="105" t="s">
        <v>768</v>
      </c>
      <c r="AF62" s="105" t="s">
        <v>342</v>
      </c>
      <c r="AG62" s="85">
        <v>56</v>
      </c>
      <c r="AH62" s="85" t="s">
        <v>106</v>
      </c>
      <c r="AI62" s="85">
        <v>3</v>
      </c>
      <c r="AJ62" s="85">
        <v>1</v>
      </c>
      <c r="AK62" s="85">
        <v>4</v>
      </c>
      <c r="AL62" s="85" t="s">
        <v>114</v>
      </c>
      <c r="AM62" s="107"/>
      <c r="AO62" s="85">
        <f t="shared" si="7"/>
        <v>48</v>
      </c>
      <c r="AP62" s="85" t="s">
        <v>71</v>
      </c>
      <c r="AQ62" s="85">
        <v>90</v>
      </c>
      <c r="AR62" s="105" t="s">
        <v>765</v>
      </c>
      <c r="AS62" s="105" t="s">
        <v>712</v>
      </c>
      <c r="AT62" s="85">
        <v>226</v>
      </c>
      <c r="AU62" s="85" t="s">
        <v>276</v>
      </c>
      <c r="AV62" s="85">
        <v>3.5</v>
      </c>
      <c r="AW62" s="85">
        <v>1</v>
      </c>
      <c r="AX62" s="85">
        <v>4.5</v>
      </c>
      <c r="AY62" s="85" t="s">
        <v>114</v>
      </c>
      <c r="AZ62" s="107"/>
    </row>
    <row r="63" spans="1:52" s="104" customFormat="1" ht="33.75" customHeight="1">
      <c r="A63" s="85">
        <f t="shared" si="4"/>
        <v>49</v>
      </c>
      <c r="B63" s="85" t="s">
        <v>71</v>
      </c>
      <c r="C63" s="85">
        <v>63</v>
      </c>
      <c r="D63" s="105" t="s">
        <v>673</v>
      </c>
      <c r="E63" s="105" t="s">
        <v>674</v>
      </c>
      <c r="F63" s="85">
        <v>278.39999999999998</v>
      </c>
      <c r="G63" s="85" t="s">
        <v>106</v>
      </c>
      <c r="H63" s="85">
        <v>3.5</v>
      </c>
      <c r="I63" s="85">
        <v>1</v>
      </c>
      <c r="J63" s="85">
        <v>4.5</v>
      </c>
      <c r="K63" s="85" t="s">
        <v>114</v>
      </c>
      <c r="L63" s="107"/>
      <c r="N63" s="85">
        <f t="shared" si="5"/>
        <v>49</v>
      </c>
      <c r="O63" s="85" t="s">
        <v>71</v>
      </c>
      <c r="P63" s="85">
        <v>63</v>
      </c>
      <c r="Q63" s="105" t="s">
        <v>589</v>
      </c>
      <c r="R63" s="105" t="s">
        <v>767</v>
      </c>
      <c r="S63" s="85">
        <f>7+188</f>
        <v>195</v>
      </c>
      <c r="T63" s="85" t="s">
        <v>285</v>
      </c>
      <c r="U63" s="85">
        <v>3.3</v>
      </c>
      <c r="V63" s="85">
        <v>1</v>
      </c>
      <c r="W63" s="85">
        <v>4.3</v>
      </c>
      <c r="X63" s="85" t="s">
        <v>114</v>
      </c>
      <c r="Y63" s="107"/>
      <c r="AB63" s="85">
        <f t="shared" si="6"/>
        <v>49</v>
      </c>
      <c r="AC63" s="85" t="s">
        <v>71</v>
      </c>
      <c r="AD63" s="85">
        <v>125</v>
      </c>
      <c r="AE63" s="105" t="s">
        <v>760</v>
      </c>
      <c r="AF63" s="105" t="s">
        <v>206</v>
      </c>
      <c r="AG63" s="85">
        <v>128.9</v>
      </c>
      <c r="AH63" s="85" t="s">
        <v>106</v>
      </c>
      <c r="AI63" s="85">
        <v>3</v>
      </c>
      <c r="AJ63" s="85">
        <v>1</v>
      </c>
      <c r="AK63" s="85">
        <v>4</v>
      </c>
      <c r="AL63" s="85" t="s">
        <v>114</v>
      </c>
      <c r="AM63" s="107"/>
      <c r="AO63" s="85">
        <f t="shared" si="7"/>
        <v>49</v>
      </c>
      <c r="AP63" s="85" t="s">
        <v>71</v>
      </c>
      <c r="AQ63" s="85">
        <v>90</v>
      </c>
      <c r="AR63" s="105" t="s">
        <v>712</v>
      </c>
      <c r="AS63" s="105" t="s">
        <v>73</v>
      </c>
      <c r="AT63" s="85">
        <f>6.2+216.1</f>
        <v>222.29999999999998</v>
      </c>
      <c r="AU63" s="85" t="s">
        <v>276</v>
      </c>
      <c r="AV63" s="85">
        <v>3.5</v>
      </c>
      <c r="AW63" s="85">
        <v>1</v>
      </c>
      <c r="AX63" s="85">
        <v>4.5</v>
      </c>
      <c r="AY63" s="85" t="s">
        <v>114</v>
      </c>
      <c r="AZ63" s="107"/>
    </row>
    <row r="64" spans="1:52" s="104" customFormat="1" ht="33.75" customHeight="1">
      <c r="A64" s="85">
        <f t="shared" si="4"/>
        <v>50</v>
      </c>
      <c r="B64" s="85" t="s">
        <v>71</v>
      </c>
      <c r="C64" s="85">
        <v>63</v>
      </c>
      <c r="D64" s="105" t="s">
        <v>167</v>
      </c>
      <c r="E64" s="105" t="s">
        <v>229</v>
      </c>
      <c r="F64" s="85">
        <v>47.3</v>
      </c>
      <c r="G64" s="85" t="s">
        <v>106</v>
      </c>
      <c r="H64" s="85">
        <v>3.5</v>
      </c>
      <c r="I64" s="85">
        <v>1</v>
      </c>
      <c r="J64" s="85">
        <v>4.5</v>
      </c>
      <c r="K64" s="85" t="s">
        <v>114</v>
      </c>
      <c r="L64" s="107"/>
      <c r="N64" s="85">
        <f t="shared" si="5"/>
        <v>50</v>
      </c>
      <c r="O64" s="85" t="s">
        <v>71</v>
      </c>
      <c r="P64" s="85">
        <v>63</v>
      </c>
      <c r="Q64" s="105" t="s">
        <v>589</v>
      </c>
      <c r="R64" s="105" t="s">
        <v>629</v>
      </c>
      <c r="S64" s="85">
        <v>28.7</v>
      </c>
      <c r="T64" s="85" t="s">
        <v>285</v>
      </c>
      <c r="U64" s="85">
        <v>3.3</v>
      </c>
      <c r="V64" s="85">
        <v>1</v>
      </c>
      <c r="W64" s="85">
        <v>4.3</v>
      </c>
      <c r="X64" s="85" t="s">
        <v>114</v>
      </c>
      <c r="Y64" s="107"/>
      <c r="AB64" s="85">
        <f t="shared" si="6"/>
        <v>50</v>
      </c>
      <c r="AC64" s="85" t="s">
        <v>71</v>
      </c>
      <c r="AD64" s="85">
        <v>63</v>
      </c>
      <c r="AE64" s="105" t="s">
        <v>768</v>
      </c>
      <c r="AF64" s="105" t="s">
        <v>386</v>
      </c>
      <c r="AG64" s="85">
        <v>119.3</v>
      </c>
      <c r="AH64" s="85" t="s">
        <v>106</v>
      </c>
      <c r="AI64" s="85">
        <v>3</v>
      </c>
      <c r="AJ64" s="85">
        <v>1</v>
      </c>
      <c r="AK64" s="85">
        <v>4</v>
      </c>
      <c r="AL64" s="85" t="s">
        <v>114</v>
      </c>
      <c r="AM64" s="107"/>
      <c r="AO64" s="85">
        <f t="shared" si="7"/>
        <v>50</v>
      </c>
      <c r="AP64" s="85" t="s">
        <v>71</v>
      </c>
      <c r="AQ64" s="85">
        <v>75</v>
      </c>
      <c r="AR64" s="105" t="s">
        <v>73</v>
      </c>
      <c r="AS64" s="105" t="s">
        <v>154</v>
      </c>
      <c r="AT64" s="85">
        <v>132.30000000000001</v>
      </c>
      <c r="AU64" s="85" t="s">
        <v>276</v>
      </c>
      <c r="AV64" s="85">
        <v>3.5</v>
      </c>
      <c r="AW64" s="85">
        <v>1</v>
      </c>
      <c r="AX64" s="85">
        <v>4.5</v>
      </c>
      <c r="AY64" s="85" t="s">
        <v>114</v>
      </c>
      <c r="AZ64" s="107"/>
    </row>
    <row r="65" spans="1:52" s="104" customFormat="1" ht="33.75" customHeight="1">
      <c r="A65" s="85">
        <f t="shared" si="4"/>
        <v>51</v>
      </c>
      <c r="B65" s="85" t="s">
        <v>71</v>
      </c>
      <c r="C65" s="85">
        <v>63</v>
      </c>
      <c r="D65" s="105" t="s">
        <v>769</v>
      </c>
      <c r="E65" s="105" t="s">
        <v>310</v>
      </c>
      <c r="F65" s="85">
        <v>73.5</v>
      </c>
      <c r="G65" s="85" t="s">
        <v>106</v>
      </c>
      <c r="H65" s="85">
        <v>3.5</v>
      </c>
      <c r="I65" s="85">
        <v>1</v>
      </c>
      <c r="J65" s="85">
        <v>4.5</v>
      </c>
      <c r="K65" s="85" t="s">
        <v>114</v>
      </c>
      <c r="L65" s="107"/>
      <c r="N65" s="85">
        <f t="shared" si="5"/>
        <v>51</v>
      </c>
      <c r="O65" s="85" t="s">
        <v>71</v>
      </c>
      <c r="P65" s="85">
        <v>63</v>
      </c>
      <c r="Q65" s="105" t="s">
        <v>629</v>
      </c>
      <c r="R65" s="105" t="s">
        <v>770</v>
      </c>
      <c r="S65" s="85">
        <v>69.400000000000006</v>
      </c>
      <c r="T65" s="85" t="s">
        <v>285</v>
      </c>
      <c r="U65" s="85">
        <v>3.3</v>
      </c>
      <c r="V65" s="85">
        <v>1</v>
      </c>
      <c r="W65" s="85">
        <v>4.3</v>
      </c>
      <c r="X65" s="85" t="s">
        <v>114</v>
      </c>
      <c r="Y65" s="107"/>
      <c r="AB65" s="85">
        <f t="shared" si="6"/>
        <v>51</v>
      </c>
      <c r="AC65" s="85" t="s">
        <v>71</v>
      </c>
      <c r="AD65" s="85">
        <v>63</v>
      </c>
      <c r="AE65" s="105" t="s">
        <v>386</v>
      </c>
      <c r="AF65" s="105" t="s">
        <v>84</v>
      </c>
      <c r="AG65" s="85">
        <v>64.400000000000006</v>
      </c>
      <c r="AH65" s="85" t="s">
        <v>106</v>
      </c>
      <c r="AI65" s="85">
        <v>3</v>
      </c>
      <c r="AJ65" s="85">
        <v>1</v>
      </c>
      <c r="AK65" s="85">
        <v>4</v>
      </c>
      <c r="AL65" s="85" t="s">
        <v>114</v>
      </c>
      <c r="AM65" s="107"/>
      <c r="AO65" s="85">
        <f t="shared" si="7"/>
        <v>51</v>
      </c>
      <c r="AP65" s="85" t="s">
        <v>71</v>
      </c>
      <c r="AQ65" s="85">
        <v>63</v>
      </c>
      <c r="AR65" s="105" t="s">
        <v>73</v>
      </c>
      <c r="AS65" s="105" t="s">
        <v>755</v>
      </c>
      <c r="AT65" s="85">
        <v>228.9</v>
      </c>
      <c r="AU65" s="85" t="s">
        <v>276</v>
      </c>
      <c r="AV65" s="85">
        <v>3.5</v>
      </c>
      <c r="AW65" s="85">
        <v>1</v>
      </c>
      <c r="AX65" s="85">
        <v>4.5</v>
      </c>
      <c r="AY65" s="85" t="s">
        <v>114</v>
      </c>
      <c r="AZ65" s="107"/>
    </row>
    <row r="66" spans="1:52" s="104" customFormat="1" ht="33.75" customHeight="1">
      <c r="A66" s="85">
        <f t="shared" si="4"/>
        <v>52</v>
      </c>
      <c r="B66" s="85" t="s">
        <v>71</v>
      </c>
      <c r="C66" s="85">
        <v>63</v>
      </c>
      <c r="D66" s="105" t="s">
        <v>243</v>
      </c>
      <c r="E66" s="105" t="s">
        <v>536</v>
      </c>
      <c r="F66" s="85">
        <v>21</v>
      </c>
      <c r="G66" s="85" t="s">
        <v>106</v>
      </c>
      <c r="H66" s="85">
        <v>3.5</v>
      </c>
      <c r="I66" s="85">
        <v>1</v>
      </c>
      <c r="J66" s="85">
        <v>4.5</v>
      </c>
      <c r="K66" s="85" t="s">
        <v>114</v>
      </c>
      <c r="L66" s="107"/>
      <c r="N66" s="85">
        <f t="shared" si="5"/>
        <v>52</v>
      </c>
      <c r="O66" s="85" t="s">
        <v>71</v>
      </c>
      <c r="P66" s="85">
        <v>63</v>
      </c>
      <c r="Q66" s="105" t="s">
        <v>629</v>
      </c>
      <c r="R66" s="105" t="s">
        <v>771</v>
      </c>
      <c r="S66" s="85">
        <v>154.6</v>
      </c>
      <c r="T66" s="85" t="s">
        <v>285</v>
      </c>
      <c r="U66" s="85">
        <v>3.3</v>
      </c>
      <c r="V66" s="85">
        <v>1</v>
      </c>
      <c r="W66" s="85">
        <v>4.3</v>
      </c>
      <c r="X66" s="85" t="s">
        <v>114</v>
      </c>
      <c r="Y66" s="107"/>
      <c r="AB66" s="85">
        <f t="shared" si="6"/>
        <v>52</v>
      </c>
      <c r="AC66" s="85" t="s">
        <v>71</v>
      </c>
      <c r="AD66" s="85">
        <v>63</v>
      </c>
      <c r="AE66" s="105" t="s">
        <v>386</v>
      </c>
      <c r="AF66" s="105" t="s">
        <v>772</v>
      </c>
      <c r="AG66" s="85">
        <v>91.3</v>
      </c>
      <c r="AH66" s="85" t="s">
        <v>106</v>
      </c>
      <c r="AI66" s="85">
        <v>3</v>
      </c>
      <c r="AJ66" s="85">
        <v>1</v>
      </c>
      <c r="AK66" s="85">
        <v>4</v>
      </c>
      <c r="AL66" s="85" t="s">
        <v>114</v>
      </c>
      <c r="AM66" s="107"/>
      <c r="AO66" s="85">
        <f t="shared" si="7"/>
        <v>52</v>
      </c>
      <c r="AP66" s="85" t="s">
        <v>71</v>
      </c>
      <c r="AQ66" s="85">
        <v>63</v>
      </c>
      <c r="AR66" s="105" t="s">
        <v>755</v>
      </c>
      <c r="AS66" s="105" t="s">
        <v>523</v>
      </c>
      <c r="AT66" s="85">
        <v>59.4</v>
      </c>
      <c r="AU66" s="85" t="s">
        <v>276</v>
      </c>
      <c r="AV66" s="85">
        <v>3.5</v>
      </c>
      <c r="AW66" s="85">
        <v>1</v>
      </c>
      <c r="AX66" s="85">
        <v>4.5</v>
      </c>
      <c r="AY66" s="85" t="s">
        <v>114</v>
      </c>
      <c r="AZ66" s="107"/>
    </row>
    <row r="67" spans="1:52" s="104" customFormat="1" ht="33.75" customHeight="1">
      <c r="A67" s="85">
        <f t="shared" si="4"/>
        <v>53</v>
      </c>
      <c r="B67" s="85" t="s">
        <v>71</v>
      </c>
      <c r="C67" s="85">
        <v>63</v>
      </c>
      <c r="D67" s="105" t="s">
        <v>72</v>
      </c>
      <c r="E67" s="105" t="s">
        <v>234</v>
      </c>
      <c r="F67" s="85">
        <v>37</v>
      </c>
      <c r="G67" s="85" t="s">
        <v>106</v>
      </c>
      <c r="H67" s="85">
        <v>3.5</v>
      </c>
      <c r="I67" s="85">
        <v>1</v>
      </c>
      <c r="J67" s="85">
        <v>4.5</v>
      </c>
      <c r="K67" s="85" t="s">
        <v>114</v>
      </c>
      <c r="L67" s="107"/>
      <c r="N67" s="85">
        <f t="shared" si="5"/>
        <v>53</v>
      </c>
      <c r="O67" s="85" t="s">
        <v>71</v>
      </c>
      <c r="P67" s="85">
        <v>90</v>
      </c>
      <c r="Q67" s="105" t="s">
        <v>771</v>
      </c>
      <c r="R67" s="105" t="s">
        <v>191</v>
      </c>
      <c r="S67" s="85">
        <v>95.6</v>
      </c>
      <c r="T67" s="85" t="s">
        <v>285</v>
      </c>
      <c r="U67" s="85">
        <v>3.3</v>
      </c>
      <c r="V67" s="85">
        <v>1</v>
      </c>
      <c r="W67" s="85">
        <v>4.3</v>
      </c>
      <c r="X67" s="85" t="s">
        <v>114</v>
      </c>
      <c r="Y67" s="107"/>
      <c r="AB67" s="85">
        <f t="shared" si="6"/>
        <v>53</v>
      </c>
      <c r="AC67" s="85" t="s">
        <v>71</v>
      </c>
      <c r="AD67" s="85">
        <v>63</v>
      </c>
      <c r="AE67" s="105" t="s">
        <v>772</v>
      </c>
      <c r="AF67" s="105" t="s">
        <v>229</v>
      </c>
      <c r="AG67" s="85">
        <v>53.3</v>
      </c>
      <c r="AH67" s="85" t="s">
        <v>106</v>
      </c>
      <c r="AI67" s="85">
        <v>3</v>
      </c>
      <c r="AJ67" s="85">
        <v>1</v>
      </c>
      <c r="AK67" s="85">
        <v>4</v>
      </c>
      <c r="AL67" s="85" t="s">
        <v>114</v>
      </c>
      <c r="AM67" s="107"/>
      <c r="AO67" s="85">
        <f t="shared" si="7"/>
        <v>53</v>
      </c>
      <c r="AP67" s="85" t="s">
        <v>71</v>
      </c>
      <c r="AQ67" s="85">
        <v>63</v>
      </c>
      <c r="AR67" s="105" t="s">
        <v>755</v>
      </c>
      <c r="AS67" s="105" t="s">
        <v>571</v>
      </c>
      <c r="AT67" s="85">
        <v>251</v>
      </c>
      <c r="AU67" s="85" t="s">
        <v>276</v>
      </c>
      <c r="AV67" s="85">
        <v>3.5</v>
      </c>
      <c r="AW67" s="85">
        <v>1</v>
      </c>
      <c r="AX67" s="85">
        <v>4.5</v>
      </c>
      <c r="AY67" s="85" t="s">
        <v>114</v>
      </c>
      <c r="AZ67" s="107"/>
    </row>
    <row r="68" spans="1:52" s="104" customFormat="1" ht="33.75" customHeight="1">
      <c r="A68" s="85">
        <f t="shared" si="4"/>
        <v>54</v>
      </c>
      <c r="B68" s="85" t="s">
        <v>71</v>
      </c>
      <c r="C68" s="85">
        <v>63</v>
      </c>
      <c r="D68" s="105" t="s">
        <v>234</v>
      </c>
      <c r="E68" s="105" t="s">
        <v>399</v>
      </c>
      <c r="F68" s="85">
        <v>59.8</v>
      </c>
      <c r="G68" s="85" t="s">
        <v>106</v>
      </c>
      <c r="H68" s="85">
        <v>3.5</v>
      </c>
      <c r="I68" s="85">
        <v>1</v>
      </c>
      <c r="J68" s="85">
        <v>4.5</v>
      </c>
      <c r="K68" s="85" t="s">
        <v>114</v>
      </c>
      <c r="L68" s="107"/>
      <c r="N68" s="85">
        <f t="shared" si="5"/>
        <v>54</v>
      </c>
      <c r="O68" s="85" t="s">
        <v>71</v>
      </c>
      <c r="P68" s="85">
        <v>90</v>
      </c>
      <c r="Q68" s="105" t="s">
        <v>771</v>
      </c>
      <c r="R68" s="105" t="s">
        <v>773</v>
      </c>
      <c r="S68" s="85">
        <v>122.3</v>
      </c>
      <c r="T68" s="85" t="s">
        <v>285</v>
      </c>
      <c r="U68" s="85">
        <v>3.3</v>
      </c>
      <c r="V68" s="85">
        <v>1</v>
      </c>
      <c r="W68" s="85">
        <v>4.3</v>
      </c>
      <c r="X68" s="85" t="s">
        <v>114</v>
      </c>
      <c r="Y68" s="107"/>
      <c r="AB68" s="85">
        <f t="shared" si="6"/>
        <v>54</v>
      </c>
      <c r="AC68" s="85" t="s">
        <v>71</v>
      </c>
      <c r="AD68" s="85">
        <v>63</v>
      </c>
      <c r="AE68" s="105" t="s">
        <v>229</v>
      </c>
      <c r="AF68" s="105" t="s">
        <v>167</v>
      </c>
      <c r="AG68" s="85">
        <v>60.9</v>
      </c>
      <c r="AH68" s="85" t="s">
        <v>106</v>
      </c>
      <c r="AI68" s="85">
        <v>3</v>
      </c>
      <c r="AJ68" s="85">
        <v>1</v>
      </c>
      <c r="AK68" s="85">
        <v>4</v>
      </c>
      <c r="AL68" s="85" t="s">
        <v>114</v>
      </c>
      <c r="AM68" s="107"/>
      <c r="AO68" s="85">
        <f t="shared" si="7"/>
        <v>54</v>
      </c>
      <c r="AP68" s="85" t="s">
        <v>71</v>
      </c>
      <c r="AQ68" s="85">
        <v>63</v>
      </c>
      <c r="AR68" s="105" t="s">
        <v>571</v>
      </c>
      <c r="AS68" s="105" t="s">
        <v>763</v>
      </c>
      <c r="AT68" s="85">
        <f>104.1+5</f>
        <v>109.1</v>
      </c>
      <c r="AU68" s="85" t="s">
        <v>276</v>
      </c>
      <c r="AV68" s="85">
        <v>3.5</v>
      </c>
      <c r="AW68" s="85">
        <v>1</v>
      </c>
      <c r="AX68" s="85">
        <v>4.5</v>
      </c>
      <c r="AY68" s="85" t="s">
        <v>114</v>
      </c>
      <c r="AZ68" s="107"/>
    </row>
    <row r="69" spans="1:52" s="104" customFormat="1" ht="33.75" customHeight="1">
      <c r="A69" s="85">
        <f t="shared" si="4"/>
        <v>55</v>
      </c>
      <c r="B69" s="85" t="s">
        <v>71</v>
      </c>
      <c r="C69" s="85">
        <v>63</v>
      </c>
      <c r="D69" s="105" t="s">
        <v>399</v>
      </c>
      <c r="E69" s="105" t="s">
        <v>774</v>
      </c>
      <c r="F69" s="85">
        <v>105</v>
      </c>
      <c r="G69" s="85" t="s">
        <v>106</v>
      </c>
      <c r="H69" s="85">
        <v>3.5</v>
      </c>
      <c r="I69" s="85">
        <v>1</v>
      </c>
      <c r="J69" s="85">
        <v>4.5</v>
      </c>
      <c r="K69" s="85" t="s">
        <v>114</v>
      </c>
      <c r="L69" s="107"/>
      <c r="N69" s="85">
        <f t="shared" si="5"/>
        <v>55</v>
      </c>
      <c r="O69" s="85" t="s">
        <v>71</v>
      </c>
      <c r="P69" s="85">
        <v>63</v>
      </c>
      <c r="Q69" s="105" t="s">
        <v>773</v>
      </c>
      <c r="R69" s="105" t="s">
        <v>775</v>
      </c>
      <c r="S69" s="85">
        <v>107.1</v>
      </c>
      <c r="T69" s="85" t="s">
        <v>285</v>
      </c>
      <c r="U69" s="85">
        <v>3.3</v>
      </c>
      <c r="V69" s="85">
        <v>1</v>
      </c>
      <c r="W69" s="85">
        <v>4.3</v>
      </c>
      <c r="X69" s="85" t="s">
        <v>114</v>
      </c>
      <c r="Y69" s="107"/>
      <c r="AB69" s="85">
        <f t="shared" si="6"/>
        <v>55</v>
      </c>
      <c r="AC69" s="85" t="s">
        <v>71</v>
      </c>
      <c r="AD69" s="85">
        <v>63</v>
      </c>
      <c r="AE69" s="105" t="s">
        <v>229</v>
      </c>
      <c r="AF69" s="105" t="s">
        <v>381</v>
      </c>
      <c r="AG69" s="85">
        <v>47</v>
      </c>
      <c r="AH69" s="85" t="s">
        <v>106</v>
      </c>
      <c r="AI69" s="85">
        <v>3</v>
      </c>
      <c r="AJ69" s="85">
        <v>1</v>
      </c>
      <c r="AK69" s="85">
        <v>4</v>
      </c>
      <c r="AL69" s="85" t="s">
        <v>114</v>
      </c>
      <c r="AM69" s="107"/>
      <c r="AO69" s="85">
        <f t="shared" si="7"/>
        <v>55</v>
      </c>
      <c r="AP69" s="85" t="s">
        <v>71</v>
      </c>
      <c r="AQ69" s="85">
        <v>63</v>
      </c>
      <c r="AR69" s="105" t="s">
        <v>763</v>
      </c>
      <c r="AS69" s="105" t="s">
        <v>776</v>
      </c>
      <c r="AT69" s="85">
        <v>39</v>
      </c>
      <c r="AU69" s="85" t="s">
        <v>276</v>
      </c>
      <c r="AV69" s="85">
        <v>3.5</v>
      </c>
      <c r="AW69" s="85">
        <v>1</v>
      </c>
      <c r="AX69" s="85">
        <v>4.5</v>
      </c>
      <c r="AY69" s="85" t="s">
        <v>114</v>
      </c>
      <c r="AZ69" s="107"/>
    </row>
    <row r="70" spans="1:52" s="104" customFormat="1" ht="33.75" customHeight="1">
      <c r="A70" s="85">
        <f t="shared" si="4"/>
        <v>56</v>
      </c>
      <c r="B70" s="85" t="s">
        <v>71</v>
      </c>
      <c r="C70" s="85">
        <v>63</v>
      </c>
      <c r="D70" s="105" t="s">
        <v>402</v>
      </c>
      <c r="E70" s="105" t="s">
        <v>128</v>
      </c>
      <c r="F70" s="85">
        <v>32</v>
      </c>
      <c r="G70" s="85" t="s">
        <v>106</v>
      </c>
      <c r="H70" s="85">
        <v>3.5</v>
      </c>
      <c r="I70" s="85">
        <v>1</v>
      </c>
      <c r="J70" s="85">
        <v>4.5</v>
      </c>
      <c r="K70" s="85" t="s">
        <v>114</v>
      </c>
      <c r="L70" s="107"/>
      <c r="N70" s="85">
        <f t="shared" si="5"/>
        <v>56</v>
      </c>
      <c r="O70" s="85" t="s">
        <v>71</v>
      </c>
      <c r="P70" s="85">
        <v>90</v>
      </c>
      <c r="Q70" s="105" t="s">
        <v>775</v>
      </c>
      <c r="R70" s="105" t="s">
        <v>777</v>
      </c>
      <c r="S70" s="85">
        <v>53.4</v>
      </c>
      <c r="T70" s="85" t="s">
        <v>285</v>
      </c>
      <c r="U70" s="85">
        <v>3.3</v>
      </c>
      <c r="V70" s="85">
        <v>1</v>
      </c>
      <c r="W70" s="85">
        <v>4.3</v>
      </c>
      <c r="X70" s="85" t="s">
        <v>114</v>
      </c>
      <c r="Y70" s="107"/>
      <c r="AB70" s="85">
        <f t="shared" si="6"/>
        <v>56</v>
      </c>
      <c r="AC70" s="85" t="s">
        <v>71</v>
      </c>
      <c r="AD70" s="85">
        <v>63</v>
      </c>
      <c r="AE70" s="105" t="s">
        <v>382</v>
      </c>
      <c r="AF70" s="105" t="s">
        <v>769</v>
      </c>
      <c r="AG70" s="85">
        <v>88</v>
      </c>
      <c r="AH70" s="85" t="s">
        <v>106</v>
      </c>
      <c r="AI70" s="85">
        <v>3</v>
      </c>
      <c r="AJ70" s="85">
        <v>1</v>
      </c>
      <c r="AK70" s="85">
        <v>4</v>
      </c>
      <c r="AL70" s="85" t="s">
        <v>114</v>
      </c>
      <c r="AM70" s="107"/>
      <c r="AO70" s="85">
        <f t="shared" si="7"/>
        <v>56</v>
      </c>
      <c r="AP70" s="85" t="s">
        <v>71</v>
      </c>
      <c r="AQ70" s="85">
        <v>63</v>
      </c>
      <c r="AR70" s="105" t="s">
        <v>776</v>
      </c>
      <c r="AS70" s="105" t="s">
        <v>778</v>
      </c>
      <c r="AT70" s="85">
        <v>43.4</v>
      </c>
      <c r="AU70" s="85" t="s">
        <v>276</v>
      </c>
      <c r="AV70" s="85">
        <v>3.5</v>
      </c>
      <c r="AW70" s="85">
        <v>1</v>
      </c>
      <c r="AX70" s="85">
        <v>4.5</v>
      </c>
      <c r="AY70" s="85" t="s">
        <v>114</v>
      </c>
      <c r="AZ70" s="107"/>
    </row>
    <row r="71" spans="1:52" s="104" customFormat="1" ht="33.75" customHeight="1">
      <c r="A71" s="85">
        <f t="shared" si="4"/>
        <v>57</v>
      </c>
      <c r="B71" s="85" t="s">
        <v>71</v>
      </c>
      <c r="C71" s="85">
        <v>63</v>
      </c>
      <c r="D71" s="105" t="s">
        <v>402</v>
      </c>
      <c r="E71" s="105" t="s">
        <v>199</v>
      </c>
      <c r="F71" s="85">
        <v>55</v>
      </c>
      <c r="G71" s="85" t="s">
        <v>106</v>
      </c>
      <c r="H71" s="85">
        <v>3.5</v>
      </c>
      <c r="I71" s="85">
        <v>1</v>
      </c>
      <c r="J71" s="85">
        <v>4.5</v>
      </c>
      <c r="K71" s="85" t="s">
        <v>114</v>
      </c>
      <c r="L71" s="107"/>
      <c r="N71" s="85">
        <f t="shared" si="5"/>
        <v>57</v>
      </c>
      <c r="O71" s="85" t="s">
        <v>71</v>
      </c>
      <c r="P71" s="85">
        <v>90</v>
      </c>
      <c r="Q71" s="105" t="s">
        <v>777</v>
      </c>
      <c r="R71" s="105" t="s">
        <v>287</v>
      </c>
      <c r="S71" s="85">
        <v>63.4</v>
      </c>
      <c r="T71" s="85" t="s">
        <v>285</v>
      </c>
      <c r="U71" s="85">
        <v>3.3</v>
      </c>
      <c r="V71" s="85">
        <v>1</v>
      </c>
      <c r="W71" s="85">
        <v>4.3</v>
      </c>
      <c r="X71" s="85" t="s">
        <v>114</v>
      </c>
      <c r="Y71" s="107"/>
      <c r="AB71" s="85">
        <f t="shared" si="6"/>
        <v>57</v>
      </c>
      <c r="AC71" s="85" t="s">
        <v>71</v>
      </c>
      <c r="AD71" s="85">
        <v>63</v>
      </c>
      <c r="AE71" s="105" t="s">
        <v>382</v>
      </c>
      <c r="AF71" s="105" t="s">
        <v>779</v>
      </c>
      <c r="AG71" s="85">
        <v>18</v>
      </c>
      <c r="AH71" s="85" t="s">
        <v>106</v>
      </c>
      <c r="AI71" s="85">
        <v>3</v>
      </c>
      <c r="AJ71" s="85">
        <v>1</v>
      </c>
      <c r="AK71" s="85">
        <v>4</v>
      </c>
      <c r="AL71" s="85" t="s">
        <v>114</v>
      </c>
      <c r="AM71" s="107"/>
      <c r="AO71" s="85">
        <f t="shared" si="7"/>
        <v>57</v>
      </c>
      <c r="AP71" s="85" t="s">
        <v>71</v>
      </c>
      <c r="AQ71" s="85">
        <v>63</v>
      </c>
      <c r="AR71" s="105" t="s">
        <v>778</v>
      </c>
      <c r="AS71" s="105" t="s">
        <v>780</v>
      </c>
      <c r="AT71" s="85">
        <v>29.3</v>
      </c>
      <c r="AU71" s="85" t="s">
        <v>276</v>
      </c>
      <c r="AV71" s="85">
        <v>3.5</v>
      </c>
      <c r="AW71" s="85">
        <v>1</v>
      </c>
      <c r="AX71" s="85">
        <v>4.5</v>
      </c>
      <c r="AY71" s="85" t="s">
        <v>114</v>
      </c>
      <c r="AZ71" s="107"/>
    </row>
    <row r="72" spans="1:52" s="104" customFormat="1" ht="33.75" customHeight="1">
      <c r="A72" s="85">
        <f t="shared" si="4"/>
        <v>58</v>
      </c>
      <c r="B72" s="85" t="s">
        <v>71</v>
      </c>
      <c r="C72" s="85">
        <v>63</v>
      </c>
      <c r="D72" s="105" t="s">
        <v>536</v>
      </c>
      <c r="E72" s="105" t="s">
        <v>247</v>
      </c>
      <c r="F72" s="85">
        <v>60.2</v>
      </c>
      <c r="G72" s="85" t="s">
        <v>106</v>
      </c>
      <c r="H72" s="85">
        <v>3.5</v>
      </c>
      <c r="I72" s="85">
        <v>1</v>
      </c>
      <c r="J72" s="85">
        <v>4.5</v>
      </c>
      <c r="K72" s="85" t="s">
        <v>114</v>
      </c>
      <c r="L72" s="107"/>
      <c r="N72" s="85">
        <f t="shared" si="5"/>
        <v>58</v>
      </c>
      <c r="O72" s="85" t="s">
        <v>71</v>
      </c>
      <c r="P72" s="85">
        <v>63</v>
      </c>
      <c r="Q72" s="105" t="s">
        <v>775</v>
      </c>
      <c r="R72" s="105" t="s">
        <v>344</v>
      </c>
      <c r="S72" s="85">
        <v>64.8</v>
      </c>
      <c r="T72" s="85" t="s">
        <v>285</v>
      </c>
      <c r="U72" s="85">
        <v>3.3</v>
      </c>
      <c r="V72" s="85">
        <v>1</v>
      </c>
      <c r="W72" s="85">
        <v>4.3</v>
      </c>
      <c r="X72" s="85" t="s">
        <v>114</v>
      </c>
      <c r="Y72" s="107"/>
      <c r="AB72" s="85">
        <f t="shared" si="6"/>
        <v>58</v>
      </c>
      <c r="AC72" s="85" t="s">
        <v>71</v>
      </c>
      <c r="AD72" s="85">
        <v>63</v>
      </c>
      <c r="AE72" s="105" t="s">
        <v>772</v>
      </c>
      <c r="AF72" s="105" t="s">
        <v>385</v>
      </c>
      <c r="AG72" s="85">
        <v>98</v>
      </c>
      <c r="AH72" s="85" t="s">
        <v>106</v>
      </c>
      <c r="AI72" s="85">
        <v>3</v>
      </c>
      <c r="AJ72" s="85">
        <v>1</v>
      </c>
      <c r="AK72" s="85">
        <v>4</v>
      </c>
      <c r="AL72" s="85" t="s">
        <v>114</v>
      </c>
      <c r="AM72" s="107"/>
      <c r="AO72" s="85">
        <f t="shared" si="7"/>
        <v>58</v>
      </c>
      <c r="AP72" s="85" t="s">
        <v>71</v>
      </c>
      <c r="AQ72" s="85">
        <v>63</v>
      </c>
      <c r="AR72" s="105" t="s">
        <v>780</v>
      </c>
      <c r="AS72" s="105" t="s">
        <v>781</v>
      </c>
      <c r="AT72" s="85">
        <v>13.5</v>
      </c>
      <c r="AU72" s="85" t="s">
        <v>276</v>
      </c>
      <c r="AV72" s="85">
        <v>3.5</v>
      </c>
      <c r="AW72" s="85">
        <v>1</v>
      </c>
      <c r="AX72" s="85">
        <v>4.5</v>
      </c>
      <c r="AY72" s="85" t="s">
        <v>114</v>
      </c>
      <c r="AZ72" s="107"/>
    </row>
    <row r="73" spans="1:52" s="104" customFormat="1" ht="33.75" customHeight="1">
      <c r="A73" s="85">
        <f t="shared" si="4"/>
        <v>59</v>
      </c>
      <c r="B73" s="85" t="s">
        <v>71</v>
      </c>
      <c r="C73" s="85">
        <v>63</v>
      </c>
      <c r="D73" s="105" t="s">
        <v>247</v>
      </c>
      <c r="E73" s="105" t="s">
        <v>220</v>
      </c>
      <c r="F73" s="85">
        <v>31.4</v>
      </c>
      <c r="G73" s="85" t="s">
        <v>106</v>
      </c>
      <c r="H73" s="85">
        <v>3.5</v>
      </c>
      <c r="I73" s="85">
        <v>1</v>
      </c>
      <c r="J73" s="85">
        <v>4.5</v>
      </c>
      <c r="K73" s="85" t="s">
        <v>114</v>
      </c>
      <c r="L73" s="107"/>
      <c r="N73" s="85">
        <f t="shared" si="5"/>
        <v>59</v>
      </c>
      <c r="O73" s="85" t="s">
        <v>71</v>
      </c>
      <c r="P73" s="85">
        <v>63</v>
      </c>
      <c r="Q73" s="105" t="s">
        <v>344</v>
      </c>
      <c r="R73" s="105" t="s">
        <v>782</v>
      </c>
      <c r="S73" s="85">
        <v>21</v>
      </c>
      <c r="T73" s="85" t="s">
        <v>285</v>
      </c>
      <c r="U73" s="85">
        <v>3.3</v>
      </c>
      <c r="V73" s="85">
        <v>1</v>
      </c>
      <c r="W73" s="85">
        <v>4.3</v>
      </c>
      <c r="X73" s="85" t="s">
        <v>114</v>
      </c>
      <c r="Y73" s="107"/>
      <c r="AB73" s="85">
        <f t="shared" si="6"/>
        <v>59</v>
      </c>
      <c r="AC73" s="85" t="s">
        <v>71</v>
      </c>
      <c r="AD73" s="85">
        <v>63</v>
      </c>
      <c r="AE73" s="105" t="s">
        <v>385</v>
      </c>
      <c r="AF73" s="105" t="s">
        <v>286</v>
      </c>
      <c r="AG73" s="85">
        <v>64</v>
      </c>
      <c r="AH73" s="85" t="s">
        <v>106</v>
      </c>
      <c r="AI73" s="85">
        <v>3</v>
      </c>
      <c r="AJ73" s="85">
        <v>1</v>
      </c>
      <c r="AK73" s="85">
        <v>4</v>
      </c>
      <c r="AL73" s="85" t="s">
        <v>114</v>
      </c>
      <c r="AM73" s="107"/>
      <c r="AO73" s="85">
        <f t="shared" si="7"/>
        <v>59</v>
      </c>
      <c r="AP73" s="85" t="s">
        <v>71</v>
      </c>
      <c r="AQ73" s="85">
        <v>63</v>
      </c>
      <c r="AR73" s="105" t="s">
        <v>778</v>
      </c>
      <c r="AS73" s="105" t="s">
        <v>783</v>
      </c>
      <c r="AT73" s="85">
        <v>80</v>
      </c>
      <c r="AU73" s="85" t="s">
        <v>276</v>
      </c>
      <c r="AV73" s="85">
        <v>3.5</v>
      </c>
      <c r="AW73" s="85">
        <v>1</v>
      </c>
      <c r="AX73" s="85">
        <v>4.5</v>
      </c>
      <c r="AY73" s="85" t="s">
        <v>114</v>
      </c>
      <c r="AZ73" s="107"/>
    </row>
    <row r="74" spans="1:52" s="104" customFormat="1" ht="33.75" customHeight="1">
      <c r="A74" s="85">
        <f t="shared" si="4"/>
        <v>60</v>
      </c>
      <c r="B74" s="85" t="s">
        <v>71</v>
      </c>
      <c r="C74" s="85">
        <v>63</v>
      </c>
      <c r="D74" s="105" t="s">
        <v>220</v>
      </c>
      <c r="E74" s="105" t="s">
        <v>425</v>
      </c>
      <c r="F74" s="85">
        <v>25</v>
      </c>
      <c r="G74" s="85" t="s">
        <v>106</v>
      </c>
      <c r="H74" s="85">
        <v>3.5</v>
      </c>
      <c r="I74" s="85">
        <v>1</v>
      </c>
      <c r="J74" s="85">
        <v>4.5</v>
      </c>
      <c r="K74" s="85" t="s">
        <v>114</v>
      </c>
      <c r="L74" s="107"/>
      <c r="N74" s="85">
        <f t="shared" si="5"/>
        <v>60</v>
      </c>
      <c r="O74" s="85" t="s">
        <v>71</v>
      </c>
      <c r="P74" s="85">
        <v>63</v>
      </c>
      <c r="Q74" s="105" t="s">
        <v>782</v>
      </c>
      <c r="R74" s="105" t="s">
        <v>547</v>
      </c>
      <c r="S74" s="85">
        <v>15.7</v>
      </c>
      <c r="T74" s="85" t="s">
        <v>285</v>
      </c>
      <c r="U74" s="85">
        <v>3.3</v>
      </c>
      <c r="V74" s="85">
        <v>1</v>
      </c>
      <c r="W74" s="85">
        <v>4.3</v>
      </c>
      <c r="X74" s="85" t="s">
        <v>114</v>
      </c>
      <c r="Y74" s="107"/>
      <c r="AB74" s="85">
        <f t="shared" si="6"/>
        <v>60</v>
      </c>
      <c r="AC74" s="85" t="s">
        <v>71</v>
      </c>
      <c r="AD74" s="85">
        <v>63</v>
      </c>
      <c r="AE74" s="105" t="s">
        <v>218</v>
      </c>
      <c r="AF74" s="105" t="s">
        <v>342</v>
      </c>
      <c r="AG74" s="85">
        <v>24.5</v>
      </c>
      <c r="AH74" s="85" t="s">
        <v>106</v>
      </c>
      <c r="AI74" s="85">
        <v>3</v>
      </c>
      <c r="AJ74" s="85">
        <v>1</v>
      </c>
      <c r="AK74" s="85">
        <v>4</v>
      </c>
      <c r="AL74" s="85" t="s">
        <v>114</v>
      </c>
      <c r="AM74" s="107"/>
      <c r="AO74" s="85">
        <f t="shared" si="7"/>
        <v>60</v>
      </c>
      <c r="AP74" s="85" t="s">
        <v>71</v>
      </c>
      <c r="AQ74" s="85">
        <v>63</v>
      </c>
      <c r="AR74" s="105" t="s">
        <v>781</v>
      </c>
      <c r="AS74" s="105" t="s">
        <v>784</v>
      </c>
      <c r="AT74" s="85">
        <v>51.6</v>
      </c>
      <c r="AU74" s="85" t="s">
        <v>276</v>
      </c>
      <c r="AV74" s="85">
        <v>3.5</v>
      </c>
      <c r="AW74" s="85">
        <v>1</v>
      </c>
      <c r="AX74" s="85">
        <v>4.5</v>
      </c>
      <c r="AY74" s="85" t="s">
        <v>114</v>
      </c>
      <c r="AZ74" s="107"/>
    </row>
    <row r="75" spans="1:52" s="104" customFormat="1" ht="33.75" customHeight="1">
      <c r="A75" s="85">
        <f t="shared" si="4"/>
        <v>61</v>
      </c>
      <c r="B75" s="85" t="s">
        <v>71</v>
      </c>
      <c r="C75" s="85">
        <v>63</v>
      </c>
      <c r="D75" s="105" t="s">
        <v>199</v>
      </c>
      <c r="E75" s="105" t="s">
        <v>785</v>
      </c>
      <c r="F75" s="85">
        <v>67</v>
      </c>
      <c r="G75" s="85" t="s">
        <v>106</v>
      </c>
      <c r="H75" s="85">
        <v>3.5</v>
      </c>
      <c r="I75" s="85">
        <v>1</v>
      </c>
      <c r="J75" s="85">
        <v>4.5</v>
      </c>
      <c r="K75" s="85" t="s">
        <v>114</v>
      </c>
      <c r="L75" s="107"/>
      <c r="N75" s="85">
        <f t="shared" si="5"/>
        <v>61</v>
      </c>
      <c r="O75" s="85" t="s">
        <v>71</v>
      </c>
      <c r="P75" s="85">
        <v>63</v>
      </c>
      <c r="Q75" s="105" t="s">
        <v>782</v>
      </c>
      <c r="R75" s="105" t="s">
        <v>126</v>
      </c>
      <c r="S75" s="85">
        <v>12</v>
      </c>
      <c r="T75" s="85" t="s">
        <v>285</v>
      </c>
      <c r="U75" s="85">
        <v>3.3</v>
      </c>
      <c r="V75" s="85">
        <v>1</v>
      </c>
      <c r="W75" s="85">
        <v>4.3</v>
      </c>
      <c r="X75" s="85" t="s">
        <v>114</v>
      </c>
      <c r="Y75" s="107"/>
      <c r="AB75" s="85">
        <f t="shared" si="6"/>
        <v>61</v>
      </c>
      <c r="AC75" s="85" t="s">
        <v>71</v>
      </c>
      <c r="AD75" s="85">
        <v>63</v>
      </c>
      <c r="AE75" s="105" t="s">
        <v>286</v>
      </c>
      <c r="AF75" s="105" t="s">
        <v>786</v>
      </c>
      <c r="AG75" s="85">
        <v>70.599999999999994</v>
      </c>
      <c r="AH75" s="85" t="s">
        <v>106</v>
      </c>
      <c r="AI75" s="85">
        <v>3</v>
      </c>
      <c r="AJ75" s="85">
        <v>1</v>
      </c>
      <c r="AK75" s="85">
        <v>4</v>
      </c>
      <c r="AL75" s="85" t="s">
        <v>114</v>
      </c>
      <c r="AM75" s="107"/>
      <c r="AO75" s="85">
        <f t="shared" si="7"/>
        <v>61</v>
      </c>
      <c r="AP75" s="85" t="s">
        <v>71</v>
      </c>
      <c r="AQ75" s="85">
        <v>63</v>
      </c>
      <c r="AR75" s="105" t="s">
        <v>784</v>
      </c>
      <c r="AS75" s="105" t="s">
        <v>787</v>
      </c>
      <c r="AT75" s="85">
        <v>24.9</v>
      </c>
      <c r="AU75" s="85" t="s">
        <v>276</v>
      </c>
      <c r="AV75" s="85">
        <v>3.5</v>
      </c>
      <c r="AW75" s="85">
        <v>1</v>
      </c>
      <c r="AX75" s="85">
        <v>4.5</v>
      </c>
      <c r="AY75" s="85" t="s">
        <v>114</v>
      </c>
      <c r="AZ75" s="107"/>
    </row>
    <row r="76" spans="1:52" s="104" customFormat="1" ht="33.75" customHeight="1">
      <c r="A76" s="85">
        <f t="shared" si="4"/>
        <v>62</v>
      </c>
      <c r="B76" s="85" t="s">
        <v>71</v>
      </c>
      <c r="C76" s="85">
        <v>63</v>
      </c>
      <c r="D76" s="105" t="s">
        <v>785</v>
      </c>
      <c r="E76" s="105" t="s">
        <v>238</v>
      </c>
      <c r="F76" s="85">
        <v>17</v>
      </c>
      <c r="G76" s="85" t="s">
        <v>106</v>
      </c>
      <c r="H76" s="85">
        <v>3.5</v>
      </c>
      <c r="I76" s="85">
        <v>1</v>
      </c>
      <c r="J76" s="85">
        <v>4.5</v>
      </c>
      <c r="K76" s="85" t="s">
        <v>114</v>
      </c>
      <c r="L76" s="107"/>
      <c r="N76" s="85">
        <f t="shared" si="5"/>
        <v>62</v>
      </c>
      <c r="O76" s="85" t="s">
        <v>71</v>
      </c>
      <c r="P76" s="85">
        <v>63</v>
      </c>
      <c r="Q76" s="105" t="s">
        <v>344</v>
      </c>
      <c r="R76" s="105" t="s">
        <v>396</v>
      </c>
      <c r="S76" s="85">
        <v>89.2</v>
      </c>
      <c r="T76" s="85" t="s">
        <v>285</v>
      </c>
      <c r="U76" s="85">
        <v>3.3</v>
      </c>
      <c r="V76" s="85">
        <v>1</v>
      </c>
      <c r="W76" s="85">
        <v>4.3</v>
      </c>
      <c r="X76" s="85" t="s">
        <v>114</v>
      </c>
      <c r="Y76" s="107"/>
      <c r="AB76" s="85">
        <f t="shared" si="6"/>
        <v>62</v>
      </c>
      <c r="AC76" s="85" t="s">
        <v>71</v>
      </c>
      <c r="AD76" s="85">
        <v>63</v>
      </c>
      <c r="AE76" s="105" t="s">
        <v>786</v>
      </c>
      <c r="AF76" s="105" t="s">
        <v>179</v>
      </c>
      <c r="AG76" s="85">
        <v>111.4</v>
      </c>
      <c r="AH76" s="85" t="s">
        <v>106</v>
      </c>
      <c r="AI76" s="85">
        <v>3</v>
      </c>
      <c r="AJ76" s="85">
        <v>1</v>
      </c>
      <c r="AK76" s="85">
        <v>4</v>
      </c>
      <c r="AL76" s="85" t="s">
        <v>114</v>
      </c>
      <c r="AM76" s="107"/>
      <c r="AO76" s="85">
        <f t="shared" si="7"/>
        <v>62</v>
      </c>
      <c r="AP76" s="85" t="s">
        <v>71</v>
      </c>
      <c r="AQ76" s="85">
        <v>63</v>
      </c>
      <c r="AR76" s="105" t="s">
        <v>787</v>
      </c>
      <c r="AS76" s="105" t="s">
        <v>788</v>
      </c>
      <c r="AT76" s="85">
        <v>29.1</v>
      </c>
      <c r="AU76" s="85" t="s">
        <v>276</v>
      </c>
      <c r="AV76" s="85">
        <v>3.5</v>
      </c>
      <c r="AW76" s="85">
        <v>1</v>
      </c>
      <c r="AX76" s="85">
        <v>4.5</v>
      </c>
      <c r="AY76" s="85" t="s">
        <v>114</v>
      </c>
      <c r="AZ76" s="107"/>
    </row>
    <row r="77" spans="1:52" s="104" customFormat="1" ht="33.75" customHeight="1">
      <c r="A77" s="85">
        <f t="shared" si="4"/>
        <v>63</v>
      </c>
      <c r="B77" s="85" t="s">
        <v>71</v>
      </c>
      <c r="C77" s="85">
        <v>63</v>
      </c>
      <c r="D77" s="105" t="s">
        <v>785</v>
      </c>
      <c r="E77" s="105" t="s">
        <v>135</v>
      </c>
      <c r="F77" s="85">
        <v>45</v>
      </c>
      <c r="G77" s="85" t="s">
        <v>106</v>
      </c>
      <c r="H77" s="85">
        <v>3.5</v>
      </c>
      <c r="I77" s="85">
        <v>1</v>
      </c>
      <c r="J77" s="85">
        <v>4.5</v>
      </c>
      <c r="K77" s="85" t="s">
        <v>114</v>
      </c>
      <c r="L77" s="107"/>
      <c r="N77" s="85">
        <f t="shared" si="5"/>
        <v>63</v>
      </c>
      <c r="O77" s="85" t="s">
        <v>71</v>
      </c>
      <c r="P77" s="85">
        <v>63</v>
      </c>
      <c r="Q77" s="105" t="s">
        <v>396</v>
      </c>
      <c r="R77" s="105" t="s">
        <v>300</v>
      </c>
      <c r="S77" s="85">
        <v>40.4</v>
      </c>
      <c r="T77" s="85" t="s">
        <v>285</v>
      </c>
      <c r="U77" s="85">
        <v>3.3</v>
      </c>
      <c r="V77" s="85">
        <v>1</v>
      </c>
      <c r="W77" s="85">
        <v>4.3</v>
      </c>
      <c r="X77" s="85" t="s">
        <v>114</v>
      </c>
      <c r="Y77" s="107"/>
      <c r="AB77" s="85">
        <f t="shared" si="6"/>
        <v>63</v>
      </c>
      <c r="AC77" s="85" t="s">
        <v>71</v>
      </c>
      <c r="AD77" s="85">
        <v>63</v>
      </c>
      <c r="AE77" s="105" t="s">
        <v>772</v>
      </c>
      <c r="AF77" s="105" t="s">
        <v>786</v>
      </c>
      <c r="AG77" s="85">
        <v>117</v>
      </c>
      <c r="AH77" s="85" t="s">
        <v>106</v>
      </c>
      <c r="AI77" s="85">
        <v>3</v>
      </c>
      <c r="AJ77" s="85">
        <v>1</v>
      </c>
      <c r="AK77" s="85">
        <v>4</v>
      </c>
      <c r="AL77" s="85" t="s">
        <v>114</v>
      </c>
      <c r="AO77" s="85">
        <f t="shared" si="7"/>
        <v>63</v>
      </c>
      <c r="AP77" s="85" t="s">
        <v>71</v>
      </c>
      <c r="AQ77" s="85">
        <v>63</v>
      </c>
      <c r="AR77" s="105" t="s">
        <v>789</v>
      </c>
      <c r="AS77" s="105" t="s">
        <v>780</v>
      </c>
      <c r="AT77" s="85">
        <v>62.9</v>
      </c>
      <c r="AU77" s="85" t="s">
        <v>276</v>
      </c>
      <c r="AV77" s="85">
        <v>3.5</v>
      </c>
      <c r="AW77" s="85">
        <v>1</v>
      </c>
      <c r="AX77" s="85">
        <v>4.5</v>
      </c>
      <c r="AY77" s="85" t="s">
        <v>114</v>
      </c>
      <c r="AZ77" s="107"/>
    </row>
    <row r="78" spans="1:52" s="104" customFormat="1" ht="33.75" customHeight="1">
      <c r="A78" s="85">
        <f t="shared" si="4"/>
        <v>64</v>
      </c>
      <c r="B78" s="85" t="s">
        <v>71</v>
      </c>
      <c r="C78" s="85">
        <v>63</v>
      </c>
      <c r="D78" s="105" t="s">
        <v>135</v>
      </c>
      <c r="E78" s="105" t="s">
        <v>537</v>
      </c>
      <c r="F78" s="85">
        <v>194.2</v>
      </c>
      <c r="G78" s="85" t="s">
        <v>106</v>
      </c>
      <c r="H78" s="85">
        <v>3.5</v>
      </c>
      <c r="I78" s="85">
        <v>1</v>
      </c>
      <c r="J78" s="85">
        <v>4.5</v>
      </c>
      <c r="K78" s="85" t="s">
        <v>114</v>
      </c>
      <c r="L78" s="107"/>
      <c r="N78" s="85">
        <f t="shared" si="5"/>
        <v>64</v>
      </c>
      <c r="O78" s="85" t="s">
        <v>71</v>
      </c>
      <c r="P78" s="85">
        <v>63</v>
      </c>
      <c r="Q78" s="105" t="s">
        <v>396</v>
      </c>
      <c r="R78" s="105" t="s">
        <v>669</v>
      </c>
      <c r="S78" s="85">
        <v>45.7</v>
      </c>
      <c r="T78" s="85" t="s">
        <v>285</v>
      </c>
      <c r="U78" s="85">
        <v>3.3</v>
      </c>
      <c r="V78" s="85">
        <v>1</v>
      </c>
      <c r="W78" s="85">
        <v>4.3</v>
      </c>
      <c r="X78" s="85" t="s">
        <v>114</v>
      </c>
      <c r="Y78" s="107"/>
      <c r="AB78" s="107"/>
      <c r="AC78" s="107"/>
      <c r="AD78" s="331"/>
      <c r="AE78" s="331"/>
      <c r="AF78" s="331"/>
      <c r="AG78" s="331"/>
      <c r="AH78" s="338" t="s">
        <v>87</v>
      </c>
      <c r="AI78" s="338"/>
      <c r="AJ78" s="338"/>
      <c r="AK78" s="338" t="s">
        <v>39</v>
      </c>
      <c r="AL78" s="338"/>
      <c r="AM78" s="338"/>
      <c r="AO78" s="85">
        <f t="shared" si="7"/>
        <v>64</v>
      </c>
      <c r="AP78" s="85" t="s">
        <v>71</v>
      </c>
      <c r="AQ78" s="85">
        <v>63</v>
      </c>
      <c r="AR78" s="105" t="s">
        <v>776</v>
      </c>
      <c r="AS78" s="105" t="s">
        <v>693</v>
      </c>
      <c r="AT78" s="85">
        <v>38.299999999999997</v>
      </c>
      <c r="AU78" s="85" t="s">
        <v>276</v>
      </c>
      <c r="AV78" s="85">
        <v>3.5</v>
      </c>
      <c r="AW78" s="85">
        <v>1</v>
      </c>
      <c r="AX78" s="85">
        <v>4.5</v>
      </c>
      <c r="AY78" s="85" t="s">
        <v>114</v>
      </c>
      <c r="AZ78" s="107"/>
    </row>
    <row r="79" spans="1:52" s="104" customFormat="1" ht="33.75" customHeight="1">
      <c r="A79" s="85">
        <f t="shared" si="4"/>
        <v>65</v>
      </c>
      <c r="B79" s="85" t="s">
        <v>71</v>
      </c>
      <c r="C79" s="85">
        <v>63</v>
      </c>
      <c r="D79" s="105" t="s">
        <v>220</v>
      </c>
      <c r="E79" s="105" t="s">
        <v>199</v>
      </c>
      <c r="F79" s="85">
        <v>9.6</v>
      </c>
      <c r="G79" s="85" t="s">
        <v>106</v>
      </c>
      <c r="H79" s="85">
        <v>3.5</v>
      </c>
      <c r="I79" s="85">
        <v>1</v>
      </c>
      <c r="J79" s="85">
        <v>4.5</v>
      </c>
      <c r="K79" s="85" t="s">
        <v>114</v>
      </c>
      <c r="L79" s="107"/>
      <c r="N79" s="85">
        <f t="shared" si="5"/>
        <v>65</v>
      </c>
      <c r="O79" s="85" t="s">
        <v>71</v>
      </c>
      <c r="P79" s="85">
        <v>63</v>
      </c>
      <c r="Q79" s="105" t="s">
        <v>669</v>
      </c>
      <c r="R79" s="105" t="s">
        <v>730</v>
      </c>
      <c r="S79" s="85">
        <v>269.10000000000002</v>
      </c>
      <c r="T79" s="85" t="s">
        <v>285</v>
      </c>
      <c r="U79" s="85">
        <v>3.3</v>
      </c>
      <c r="V79" s="85">
        <v>1</v>
      </c>
      <c r="W79" s="85">
        <v>4.3</v>
      </c>
      <c r="X79" s="85" t="s">
        <v>114</v>
      </c>
      <c r="Y79" s="107"/>
      <c r="AB79" s="330" t="s">
        <v>40</v>
      </c>
      <c r="AC79" s="330"/>
      <c r="AD79" s="331" t="s">
        <v>133</v>
      </c>
      <c r="AE79" s="331"/>
      <c r="AF79" s="331"/>
      <c r="AG79" s="331"/>
      <c r="AH79" s="331"/>
      <c r="AI79" s="331"/>
      <c r="AJ79" s="331"/>
      <c r="AK79" s="331"/>
      <c r="AL79" s="331"/>
      <c r="AM79" s="331"/>
      <c r="AO79" s="85">
        <f t="shared" si="7"/>
        <v>65</v>
      </c>
      <c r="AP79" s="85" t="s">
        <v>71</v>
      </c>
      <c r="AQ79" s="85">
        <v>63</v>
      </c>
      <c r="AR79" s="105" t="s">
        <v>693</v>
      </c>
      <c r="AS79" s="105" t="s">
        <v>789</v>
      </c>
      <c r="AT79" s="85">
        <v>41</v>
      </c>
      <c r="AU79" s="85" t="s">
        <v>276</v>
      </c>
      <c r="AV79" s="85">
        <v>3.5</v>
      </c>
      <c r="AW79" s="85">
        <v>1</v>
      </c>
      <c r="AX79" s="85">
        <v>4.5</v>
      </c>
      <c r="AY79" s="85" t="s">
        <v>114</v>
      </c>
      <c r="AZ79" s="107"/>
    </row>
    <row r="80" spans="1:52" s="104" customFormat="1" ht="33.75" customHeight="1">
      <c r="A80" s="85">
        <f t="shared" si="4"/>
        <v>66</v>
      </c>
      <c r="B80" s="85" t="s">
        <v>71</v>
      </c>
      <c r="C80" s="85">
        <v>63</v>
      </c>
      <c r="D80" s="105" t="s">
        <v>537</v>
      </c>
      <c r="E80" s="105" t="s">
        <v>421</v>
      </c>
      <c r="F80" s="85">
        <v>62.4</v>
      </c>
      <c r="G80" s="85" t="s">
        <v>106</v>
      </c>
      <c r="H80" s="85">
        <v>3.5</v>
      </c>
      <c r="I80" s="85">
        <v>1</v>
      </c>
      <c r="J80" s="85">
        <v>4.5</v>
      </c>
      <c r="K80" s="85" t="s">
        <v>114</v>
      </c>
      <c r="L80" s="107"/>
      <c r="N80" s="85">
        <f t="shared" ref="N80:N87" si="8">1+N79</f>
        <v>66</v>
      </c>
      <c r="O80" s="85" t="s">
        <v>71</v>
      </c>
      <c r="P80" s="85">
        <v>63</v>
      </c>
      <c r="Q80" s="105" t="s">
        <v>773</v>
      </c>
      <c r="R80" s="105" t="s">
        <v>752</v>
      </c>
      <c r="S80" s="85">
        <v>37.5</v>
      </c>
      <c r="T80" s="85" t="s">
        <v>285</v>
      </c>
      <c r="U80" s="85">
        <v>3.3</v>
      </c>
      <c r="V80" s="85">
        <v>1</v>
      </c>
      <c r="W80" s="85">
        <v>4.3</v>
      </c>
      <c r="X80" s="85" t="s">
        <v>114</v>
      </c>
      <c r="Y80" s="107"/>
      <c r="AB80" s="330" t="s">
        <v>790</v>
      </c>
      <c r="AC80" s="330"/>
      <c r="AD80" s="331" t="s">
        <v>698</v>
      </c>
      <c r="AE80" s="331"/>
      <c r="AF80" s="331"/>
      <c r="AG80" s="331"/>
      <c r="AH80" s="331"/>
      <c r="AI80" s="331"/>
      <c r="AJ80" s="331"/>
      <c r="AK80" s="331"/>
      <c r="AL80" s="331"/>
      <c r="AM80" s="331"/>
      <c r="AO80" s="85">
        <f t="shared" si="7"/>
        <v>66</v>
      </c>
      <c r="AP80" s="85" t="s">
        <v>71</v>
      </c>
      <c r="AQ80" s="85">
        <v>63</v>
      </c>
      <c r="AR80" s="105" t="s">
        <v>789</v>
      </c>
      <c r="AS80" s="105" t="s">
        <v>644</v>
      </c>
      <c r="AT80" s="85">
        <v>57.9</v>
      </c>
      <c r="AU80" s="85" t="s">
        <v>276</v>
      </c>
      <c r="AV80" s="85">
        <v>3.5</v>
      </c>
      <c r="AW80" s="85">
        <v>1</v>
      </c>
      <c r="AX80" s="85">
        <v>4.5</v>
      </c>
      <c r="AY80" s="85" t="s">
        <v>114</v>
      </c>
      <c r="AZ80" s="107"/>
    </row>
    <row r="81" spans="1:52" s="104" customFormat="1" ht="33.75" customHeight="1">
      <c r="A81" s="85">
        <f t="shared" si="4"/>
        <v>67</v>
      </c>
      <c r="B81" s="85" t="s">
        <v>71</v>
      </c>
      <c r="C81" s="85">
        <v>140</v>
      </c>
      <c r="D81" s="105" t="s">
        <v>357</v>
      </c>
      <c r="E81" s="105" t="s">
        <v>237</v>
      </c>
      <c r="F81" s="85">
        <v>432.6</v>
      </c>
      <c r="G81" s="85" t="s">
        <v>106</v>
      </c>
      <c r="H81" s="85">
        <v>3.5</v>
      </c>
      <c r="I81" s="85">
        <v>1</v>
      </c>
      <c r="J81" s="85">
        <v>4.5</v>
      </c>
      <c r="K81" s="85" t="s">
        <v>114</v>
      </c>
      <c r="L81" s="107"/>
      <c r="N81" s="85">
        <f t="shared" si="8"/>
        <v>67</v>
      </c>
      <c r="O81" s="85" t="s">
        <v>71</v>
      </c>
      <c r="P81" s="85">
        <v>63</v>
      </c>
      <c r="Q81" s="105" t="s">
        <v>752</v>
      </c>
      <c r="R81" s="105" t="s">
        <v>791</v>
      </c>
      <c r="S81" s="85">
        <v>11.3</v>
      </c>
      <c r="T81" s="85" t="s">
        <v>285</v>
      </c>
      <c r="U81" s="85">
        <v>3.3</v>
      </c>
      <c r="V81" s="85">
        <v>1</v>
      </c>
      <c r="W81" s="85">
        <v>4.3</v>
      </c>
      <c r="X81" s="85" t="s">
        <v>114</v>
      </c>
      <c r="Y81" s="107"/>
      <c r="AB81" s="330" t="s">
        <v>792</v>
      </c>
      <c r="AC81" s="330"/>
      <c r="AD81" s="336"/>
      <c r="AE81" s="337"/>
      <c r="AF81" s="337"/>
      <c r="AG81" s="337"/>
      <c r="AH81" s="331"/>
      <c r="AI81" s="331"/>
      <c r="AJ81" s="331"/>
      <c r="AK81" s="331"/>
      <c r="AL81" s="331"/>
      <c r="AM81" s="331"/>
      <c r="AO81" s="85">
        <f t="shared" si="7"/>
        <v>67</v>
      </c>
      <c r="AP81" s="85" t="s">
        <v>71</v>
      </c>
      <c r="AQ81" s="85">
        <v>63</v>
      </c>
      <c r="AR81" s="105" t="s">
        <v>644</v>
      </c>
      <c r="AS81" s="105" t="s">
        <v>228</v>
      </c>
      <c r="AT81" s="85">
        <v>109</v>
      </c>
      <c r="AU81" s="85" t="s">
        <v>276</v>
      </c>
      <c r="AV81" s="85">
        <v>3.5</v>
      </c>
      <c r="AW81" s="85">
        <v>1</v>
      </c>
      <c r="AX81" s="85">
        <v>4.5</v>
      </c>
      <c r="AY81" s="85" t="s">
        <v>114</v>
      </c>
      <c r="AZ81" s="107"/>
    </row>
    <row r="82" spans="1:52" s="104" customFormat="1" ht="33.75" customHeight="1">
      <c r="A82" s="85">
        <f t="shared" ref="A82:A95" si="9">1+A81</f>
        <v>68</v>
      </c>
      <c r="B82" s="85" t="s">
        <v>71</v>
      </c>
      <c r="C82" s="85">
        <v>63</v>
      </c>
      <c r="D82" s="105" t="s">
        <v>237</v>
      </c>
      <c r="E82" s="105" t="s">
        <v>793</v>
      </c>
      <c r="F82" s="85">
        <v>78.3</v>
      </c>
      <c r="G82" s="85" t="s">
        <v>106</v>
      </c>
      <c r="H82" s="85">
        <v>3.5</v>
      </c>
      <c r="I82" s="85">
        <v>1</v>
      </c>
      <c r="J82" s="85">
        <v>4.5</v>
      </c>
      <c r="K82" s="85" t="s">
        <v>114</v>
      </c>
      <c r="L82" s="107"/>
      <c r="N82" s="85">
        <f t="shared" si="8"/>
        <v>68</v>
      </c>
      <c r="O82" s="85" t="s">
        <v>71</v>
      </c>
      <c r="P82" s="85">
        <v>63</v>
      </c>
      <c r="Q82" s="105" t="s">
        <v>752</v>
      </c>
      <c r="R82" s="105" t="s">
        <v>794</v>
      </c>
      <c r="S82" s="85">
        <v>27.8</v>
      </c>
      <c r="T82" s="85" t="s">
        <v>285</v>
      </c>
      <c r="U82" s="85">
        <v>3.3</v>
      </c>
      <c r="V82" s="85">
        <v>1</v>
      </c>
      <c r="W82" s="85">
        <v>4.3</v>
      </c>
      <c r="X82" s="85" t="s">
        <v>114</v>
      </c>
      <c r="Y82" s="107"/>
      <c r="AO82" s="85">
        <f t="shared" si="7"/>
        <v>68</v>
      </c>
      <c r="AP82" s="85" t="s">
        <v>71</v>
      </c>
      <c r="AQ82" s="85">
        <v>63</v>
      </c>
      <c r="AR82" s="105" t="s">
        <v>644</v>
      </c>
      <c r="AS82" s="105" t="s">
        <v>320</v>
      </c>
      <c r="AT82" s="85">
        <v>44</v>
      </c>
      <c r="AU82" s="85" t="s">
        <v>276</v>
      </c>
      <c r="AV82" s="85">
        <v>3.5</v>
      </c>
      <c r="AW82" s="85">
        <v>1</v>
      </c>
      <c r="AX82" s="85">
        <v>4.5</v>
      </c>
      <c r="AY82" s="85" t="s">
        <v>114</v>
      </c>
      <c r="AZ82" s="107"/>
    </row>
    <row r="83" spans="1:52" s="104" customFormat="1" ht="33.75" customHeight="1">
      <c r="A83" s="85">
        <f t="shared" si="9"/>
        <v>69</v>
      </c>
      <c r="B83" s="85" t="s">
        <v>71</v>
      </c>
      <c r="C83" s="85">
        <v>110</v>
      </c>
      <c r="D83" s="105" t="s">
        <v>246</v>
      </c>
      <c r="E83" s="105" t="s">
        <v>774</v>
      </c>
      <c r="F83" s="85">
        <v>120.1</v>
      </c>
      <c r="G83" s="85" t="s">
        <v>106</v>
      </c>
      <c r="H83" s="85">
        <v>3.5</v>
      </c>
      <c r="I83" s="85">
        <v>1</v>
      </c>
      <c r="J83" s="85">
        <v>4.5</v>
      </c>
      <c r="K83" s="85" t="s">
        <v>114</v>
      </c>
      <c r="L83" s="107"/>
      <c r="N83" s="85">
        <f t="shared" si="8"/>
        <v>69</v>
      </c>
      <c r="O83" s="85" t="s">
        <v>71</v>
      </c>
      <c r="P83" s="85">
        <v>90</v>
      </c>
      <c r="Q83" s="105" t="s">
        <v>794</v>
      </c>
      <c r="R83" s="105" t="s">
        <v>795</v>
      </c>
      <c r="S83" s="85">
        <v>26</v>
      </c>
      <c r="T83" s="85" t="s">
        <v>285</v>
      </c>
      <c r="U83" s="85">
        <v>3.3</v>
      </c>
      <c r="V83" s="85">
        <v>1</v>
      </c>
      <c r="W83" s="85">
        <v>4.3</v>
      </c>
      <c r="X83" s="85" t="s">
        <v>114</v>
      </c>
      <c r="Y83" s="107"/>
      <c r="AO83" s="85">
        <f t="shared" si="7"/>
        <v>69</v>
      </c>
      <c r="AP83" s="85" t="s">
        <v>71</v>
      </c>
      <c r="AQ83" s="85">
        <v>63</v>
      </c>
      <c r="AR83" s="105" t="s">
        <v>320</v>
      </c>
      <c r="AS83" s="105" t="s">
        <v>796</v>
      </c>
      <c r="AT83" s="85">
        <v>86.4</v>
      </c>
      <c r="AU83" s="85" t="s">
        <v>276</v>
      </c>
      <c r="AV83" s="85">
        <v>3.5</v>
      </c>
      <c r="AW83" s="85">
        <v>1</v>
      </c>
      <c r="AX83" s="85">
        <v>4.5</v>
      </c>
      <c r="AY83" s="85" t="s">
        <v>114</v>
      </c>
      <c r="AZ83" s="107"/>
    </row>
    <row r="84" spans="1:52" s="104" customFormat="1" ht="33.75" customHeight="1">
      <c r="A84" s="85">
        <f t="shared" si="9"/>
        <v>70</v>
      </c>
      <c r="B84" s="85" t="s">
        <v>71</v>
      </c>
      <c r="C84" s="85">
        <v>110</v>
      </c>
      <c r="D84" s="105" t="s">
        <v>774</v>
      </c>
      <c r="E84" s="105" t="s">
        <v>231</v>
      </c>
      <c r="F84" s="85">
        <v>32.9</v>
      </c>
      <c r="G84" s="85" t="s">
        <v>106</v>
      </c>
      <c r="H84" s="85">
        <v>3.5</v>
      </c>
      <c r="I84" s="85">
        <v>1</v>
      </c>
      <c r="J84" s="85">
        <v>4.5</v>
      </c>
      <c r="K84" s="85" t="s">
        <v>114</v>
      </c>
      <c r="L84" s="107"/>
      <c r="N84" s="85">
        <f t="shared" si="8"/>
        <v>70</v>
      </c>
      <c r="O84" s="85" t="s">
        <v>71</v>
      </c>
      <c r="P84" s="85">
        <v>63</v>
      </c>
      <c r="Q84" s="105" t="s">
        <v>795</v>
      </c>
      <c r="R84" s="105" t="s">
        <v>666</v>
      </c>
      <c r="S84" s="85">
        <v>64.7</v>
      </c>
      <c r="T84" s="85" t="s">
        <v>285</v>
      </c>
      <c r="U84" s="85">
        <v>3.3</v>
      </c>
      <c r="V84" s="85">
        <v>1</v>
      </c>
      <c r="W84" s="85">
        <v>4.3</v>
      </c>
      <c r="X84" s="85" t="s">
        <v>114</v>
      </c>
      <c r="Y84" s="107"/>
      <c r="AO84" s="85">
        <f t="shared" si="7"/>
        <v>70</v>
      </c>
      <c r="AP84" s="85" t="s">
        <v>71</v>
      </c>
      <c r="AQ84" s="29">
        <v>63</v>
      </c>
      <c r="AR84" s="110" t="s">
        <v>571</v>
      </c>
      <c r="AS84" s="110" t="s">
        <v>797</v>
      </c>
      <c r="AT84" s="33">
        <v>37.1</v>
      </c>
      <c r="AU84" s="85" t="s">
        <v>276</v>
      </c>
      <c r="AV84" s="85">
        <v>3.5</v>
      </c>
      <c r="AW84" s="85">
        <v>1</v>
      </c>
      <c r="AX84" s="85">
        <v>4.5</v>
      </c>
      <c r="AY84" s="85" t="s">
        <v>114</v>
      </c>
      <c r="AZ84" s="107"/>
    </row>
    <row r="85" spans="1:52" s="104" customFormat="1" ht="33.75" customHeight="1">
      <c r="A85" s="85">
        <f t="shared" si="9"/>
        <v>71</v>
      </c>
      <c r="B85" s="85" t="s">
        <v>71</v>
      </c>
      <c r="C85" s="85">
        <v>75</v>
      </c>
      <c r="D85" s="105" t="s">
        <v>231</v>
      </c>
      <c r="E85" s="105" t="s">
        <v>537</v>
      </c>
      <c r="F85" s="85">
        <v>151.19999999999999</v>
      </c>
      <c r="G85" s="85" t="s">
        <v>106</v>
      </c>
      <c r="H85" s="85">
        <v>3.5</v>
      </c>
      <c r="I85" s="85">
        <v>1</v>
      </c>
      <c r="J85" s="85">
        <v>4.5</v>
      </c>
      <c r="K85" s="85" t="s">
        <v>114</v>
      </c>
      <c r="L85" s="107"/>
      <c r="N85" s="85">
        <f t="shared" si="8"/>
        <v>71</v>
      </c>
      <c r="O85" s="85" t="s">
        <v>71</v>
      </c>
      <c r="P85" s="85">
        <v>63</v>
      </c>
      <c r="Q85" s="105" t="s">
        <v>666</v>
      </c>
      <c r="R85" s="105" t="s">
        <v>711</v>
      </c>
      <c r="S85" s="85">
        <v>66</v>
      </c>
      <c r="T85" s="85" t="s">
        <v>285</v>
      </c>
      <c r="U85" s="85">
        <v>3.3</v>
      </c>
      <c r="V85" s="85">
        <v>1</v>
      </c>
      <c r="W85" s="85">
        <v>4.3</v>
      </c>
      <c r="X85" s="85" t="s">
        <v>114</v>
      </c>
      <c r="Y85" s="107"/>
      <c r="AO85" s="85">
        <f t="shared" si="7"/>
        <v>71</v>
      </c>
      <c r="AP85" s="85" t="s">
        <v>71</v>
      </c>
      <c r="AQ85" s="29">
        <v>63</v>
      </c>
      <c r="AR85" s="110" t="s">
        <v>797</v>
      </c>
      <c r="AS85" s="110" t="s">
        <v>798</v>
      </c>
      <c r="AT85" s="33">
        <v>94.7</v>
      </c>
      <c r="AU85" s="85" t="s">
        <v>276</v>
      </c>
      <c r="AV85" s="85">
        <v>3.5</v>
      </c>
      <c r="AW85" s="85">
        <v>1</v>
      </c>
      <c r="AX85" s="85">
        <v>4.5</v>
      </c>
      <c r="AY85" s="85" t="s">
        <v>114</v>
      </c>
      <c r="AZ85" s="107"/>
    </row>
    <row r="86" spans="1:52" s="104" customFormat="1" ht="33.75" customHeight="1">
      <c r="A86" s="85">
        <f t="shared" si="9"/>
        <v>72</v>
      </c>
      <c r="B86" s="85" t="s">
        <v>71</v>
      </c>
      <c r="C86" s="85">
        <v>75</v>
      </c>
      <c r="D86" s="105" t="s">
        <v>537</v>
      </c>
      <c r="E86" s="105" t="s">
        <v>754</v>
      </c>
      <c r="F86" s="85">
        <v>582</v>
      </c>
      <c r="G86" s="85" t="s">
        <v>106</v>
      </c>
      <c r="H86" s="85">
        <v>3.5</v>
      </c>
      <c r="I86" s="85">
        <v>1</v>
      </c>
      <c r="J86" s="85">
        <v>4.5</v>
      </c>
      <c r="K86" s="85" t="s">
        <v>114</v>
      </c>
      <c r="L86" s="107"/>
      <c r="N86" s="85">
        <f t="shared" si="8"/>
        <v>72</v>
      </c>
      <c r="O86" s="85" t="s">
        <v>71</v>
      </c>
      <c r="P86" s="85">
        <v>63</v>
      </c>
      <c r="Q86" s="105" t="s">
        <v>676</v>
      </c>
      <c r="R86" s="105" t="s">
        <v>528</v>
      </c>
      <c r="S86" s="85">
        <v>80.900000000000006</v>
      </c>
      <c r="T86" s="85" t="s">
        <v>285</v>
      </c>
      <c r="U86" s="85">
        <v>3.3</v>
      </c>
      <c r="V86" s="85">
        <v>1</v>
      </c>
      <c r="W86" s="85">
        <v>4.3</v>
      </c>
      <c r="X86" s="85" t="s">
        <v>114</v>
      </c>
      <c r="Y86" s="107"/>
      <c r="AO86" s="85">
        <f t="shared" si="7"/>
        <v>72</v>
      </c>
      <c r="AP86" s="85" t="s">
        <v>71</v>
      </c>
      <c r="AQ86" s="29">
        <v>63</v>
      </c>
      <c r="AR86" s="110" t="s">
        <v>797</v>
      </c>
      <c r="AS86" s="110" t="s">
        <v>799</v>
      </c>
      <c r="AT86" s="33">
        <v>40</v>
      </c>
      <c r="AU86" s="85" t="s">
        <v>276</v>
      </c>
      <c r="AV86" s="85">
        <v>3.5</v>
      </c>
      <c r="AW86" s="85">
        <v>1</v>
      </c>
      <c r="AX86" s="85">
        <v>4.5</v>
      </c>
      <c r="AY86" s="85" t="s">
        <v>114</v>
      </c>
      <c r="AZ86" s="107"/>
    </row>
    <row r="87" spans="1:52" s="104" customFormat="1" ht="33.75" customHeight="1">
      <c r="A87" s="85">
        <f t="shared" si="9"/>
        <v>73</v>
      </c>
      <c r="B87" s="85" t="s">
        <v>71</v>
      </c>
      <c r="C87" s="85">
        <v>125</v>
      </c>
      <c r="D87" s="105" t="s">
        <v>754</v>
      </c>
      <c r="E87" s="105" t="s">
        <v>116</v>
      </c>
      <c r="F87" s="85">
        <v>65.099999999999994</v>
      </c>
      <c r="G87" s="85" t="s">
        <v>106</v>
      </c>
      <c r="H87" s="85">
        <v>3.5</v>
      </c>
      <c r="I87" s="85">
        <v>1</v>
      </c>
      <c r="J87" s="85">
        <v>4.5</v>
      </c>
      <c r="K87" s="85" t="s">
        <v>114</v>
      </c>
      <c r="L87" s="107"/>
      <c r="N87" s="85">
        <f t="shared" si="8"/>
        <v>73</v>
      </c>
      <c r="O87" s="85" t="s">
        <v>71</v>
      </c>
      <c r="P87" s="85">
        <v>63</v>
      </c>
      <c r="Q87" s="105" t="s">
        <v>528</v>
      </c>
      <c r="R87" s="105" t="s">
        <v>660</v>
      </c>
      <c r="S87" s="85">
        <v>36</v>
      </c>
      <c r="T87" s="85" t="s">
        <v>285</v>
      </c>
      <c r="U87" s="85">
        <v>3.3</v>
      </c>
      <c r="V87" s="85">
        <v>1</v>
      </c>
      <c r="W87" s="85">
        <v>4.3</v>
      </c>
      <c r="X87" s="85" t="s">
        <v>114</v>
      </c>
      <c r="Y87" s="107"/>
      <c r="AO87" s="85">
        <f t="shared" si="7"/>
        <v>73</v>
      </c>
      <c r="AP87" s="85" t="s">
        <v>71</v>
      </c>
      <c r="AQ87" s="29">
        <v>63</v>
      </c>
      <c r="AR87" s="110" t="s">
        <v>799</v>
      </c>
      <c r="AS87" s="110" t="s">
        <v>800</v>
      </c>
      <c r="AT87" s="33">
        <v>34</v>
      </c>
      <c r="AU87" s="85" t="s">
        <v>276</v>
      </c>
      <c r="AV87" s="85">
        <v>3.5</v>
      </c>
      <c r="AW87" s="85">
        <v>1</v>
      </c>
      <c r="AX87" s="85">
        <v>4.5</v>
      </c>
      <c r="AY87" s="85" t="s">
        <v>114</v>
      </c>
      <c r="AZ87" s="107"/>
    </row>
    <row r="88" spans="1:52" s="104" customFormat="1" ht="33.75" customHeight="1">
      <c r="A88" s="85">
        <f t="shared" si="9"/>
        <v>74</v>
      </c>
      <c r="B88" s="85" t="s">
        <v>71</v>
      </c>
      <c r="C88" s="85">
        <v>90</v>
      </c>
      <c r="D88" s="105" t="s">
        <v>116</v>
      </c>
      <c r="E88" s="105" t="s">
        <v>479</v>
      </c>
      <c r="F88" s="85">
        <v>25</v>
      </c>
      <c r="G88" s="85" t="s">
        <v>106</v>
      </c>
      <c r="H88" s="85">
        <v>3.5</v>
      </c>
      <c r="I88" s="85">
        <v>1</v>
      </c>
      <c r="J88" s="85">
        <v>4.5</v>
      </c>
      <c r="K88" s="85" t="s">
        <v>114</v>
      </c>
      <c r="L88" s="107"/>
      <c r="N88" s="338"/>
      <c r="O88" s="338"/>
      <c r="P88" s="338" t="s">
        <v>86</v>
      </c>
      <c r="Q88" s="338"/>
      <c r="R88" s="338"/>
      <c r="S88" s="338"/>
      <c r="T88" s="338" t="s">
        <v>87</v>
      </c>
      <c r="U88" s="338"/>
      <c r="V88" s="338"/>
      <c r="W88" s="338" t="s">
        <v>39</v>
      </c>
      <c r="X88" s="338"/>
      <c r="Y88" s="338"/>
      <c r="AO88" s="85">
        <f t="shared" si="7"/>
        <v>74</v>
      </c>
      <c r="AP88" s="85" t="s">
        <v>71</v>
      </c>
      <c r="AQ88" s="29">
        <v>63</v>
      </c>
      <c r="AR88" s="110" t="s">
        <v>800</v>
      </c>
      <c r="AS88" s="110" t="s">
        <v>801</v>
      </c>
      <c r="AT88" s="33">
        <v>21.3</v>
      </c>
      <c r="AU88" s="85" t="s">
        <v>276</v>
      </c>
      <c r="AV88" s="85">
        <v>3.5</v>
      </c>
      <c r="AW88" s="85">
        <v>1</v>
      </c>
      <c r="AX88" s="85">
        <v>4.5</v>
      </c>
      <c r="AY88" s="85" t="s">
        <v>114</v>
      </c>
      <c r="AZ88" s="107"/>
    </row>
    <row r="89" spans="1:52" s="104" customFormat="1" ht="33.75" customHeight="1">
      <c r="A89" s="85">
        <f t="shared" si="9"/>
        <v>75</v>
      </c>
      <c r="B89" s="85" t="s">
        <v>71</v>
      </c>
      <c r="C89" s="85">
        <v>90</v>
      </c>
      <c r="D89" s="85" t="s">
        <v>479</v>
      </c>
      <c r="E89" s="85" t="s">
        <v>730</v>
      </c>
      <c r="F89" s="85">
        <v>172</v>
      </c>
      <c r="G89" s="85" t="s">
        <v>106</v>
      </c>
      <c r="H89" s="85">
        <v>3.5</v>
      </c>
      <c r="I89" s="85">
        <v>1</v>
      </c>
      <c r="J89" s="85">
        <v>4.5</v>
      </c>
      <c r="K89" s="85" t="s">
        <v>114</v>
      </c>
      <c r="L89" s="107"/>
      <c r="N89" s="330" t="s">
        <v>40</v>
      </c>
      <c r="O89" s="330"/>
      <c r="P89" s="331"/>
      <c r="Q89" s="331"/>
      <c r="R89" s="331"/>
      <c r="S89" s="331"/>
      <c r="T89" s="331"/>
      <c r="U89" s="331"/>
      <c r="V89" s="331"/>
      <c r="W89" s="331"/>
      <c r="X89" s="331"/>
      <c r="Y89" s="331"/>
      <c r="AO89" s="85">
        <f t="shared" si="7"/>
        <v>75</v>
      </c>
      <c r="AP89" s="85" t="s">
        <v>71</v>
      </c>
      <c r="AQ89" s="29">
        <v>63</v>
      </c>
      <c r="AR89" s="110" t="s">
        <v>802</v>
      </c>
      <c r="AS89" s="110" t="s">
        <v>93</v>
      </c>
      <c r="AT89" s="33">
        <v>22.8</v>
      </c>
      <c r="AU89" s="85" t="s">
        <v>276</v>
      </c>
      <c r="AV89" s="85">
        <v>3.5</v>
      </c>
      <c r="AW89" s="85">
        <v>1</v>
      </c>
      <c r="AX89" s="85">
        <v>4.5</v>
      </c>
      <c r="AY89" s="85" t="s">
        <v>114</v>
      </c>
      <c r="AZ89" s="107"/>
    </row>
    <row r="90" spans="1:52" s="104" customFormat="1" ht="33.75" customHeight="1">
      <c r="A90" s="85">
        <f t="shared" si="9"/>
        <v>76</v>
      </c>
      <c r="B90" s="85" t="s">
        <v>71</v>
      </c>
      <c r="C90" s="85">
        <v>110</v>
      </c>
      <c r="D90" s="85" t="s">
        <v>116</v>
      </c>
      <c r="E90" s="85" t="s">
        <v>803</v>
      </c>
      <c r="F90" s="85">
        <v>186.9</v>
      </c>
      <c r="G90" s="85" t="s">
        <v>106</v>
      </c>
      <c r="H90" s="85">
        <v>3.5</v>
      </c>
      <c r="I90" s="85">
        <v>1</v>
      </c>
      <c r="J90" s="85">
        <v>4.5</v>
      </c>
      <c r="K90" s="85" t="s">
        <v>114</v>
      </c>
      <c r="L90" s="107"/>
      <c r="N90" s="330" t="s">
        <v>41</v>
      </c>
      <c r="O90" s="330"/>
      <c r="P90" s="331" t="s">
        <v>133</v>
      </c>
      <c r="Q90" s="331"/>
      <c r="R90" s="331"/>
      <c r="S90" s="331"/>
      <c r="T90" s="331"/>
      <c r="U90" s="331"/>
      <c r="V90" s="331"/>
      <c r="W90" s="331"/>
      <c r="X90" s="331"/>
      <c r="Y90" s="331"/>
      <c r="AO90" s="85">
        <f t="shared" si="7"/>
        <v>76</v>
      </c>
      <c r="AP90" s="85" t="s">
        <v>71</v>
      </c>
      <c r="AQ90" s="29">
        <v>63</v>
      </c>
      <c r="AR90" s="110" t="s">
        <v>93</v>
      </c>
      <c r="AS90" s="110" t="s">
        <v>804</v>
      </c>
      <c r="AT90" s="33">
        <v>29.4</v>
      </c>
      <c r="AU90" s="85" t="s">
        <v>276</v>
      </c>
      <c r="AV90" s="85">
        <v>3.5</v>
      </c>
      <c r="AW90" s="85">
        <v>1</v>
      </c>
      <c r="AX90" s="85">
        <v>4.5</v>
      </c>
      <c r="AY90" s="85" t="s">
        <v>114</v>
      </c>
      <c r="AZ90" s="107"/>
    </row>
    <row r="91" spans="1:52" s="104" customFormat="1" ht="33.75" customHeight="1">
      <c r="A91" s="85">
        <f t="shared" si="9"/>
        <v>77</v>
      </c>
      <c r="B91" s="85" t="s">
        <v>71</v>
      </c>
      <c r="C91" s="85">
        <v>110</v>
      </c>
      <c r="D91" s="85" t="s">
        <v>803</v>
      </c>
      <c r="E91" s="85" t="s">
        <v>287</v>
      </c>
      <c r="F91" s="85">
        <v>79.8</v>
      </c>
      <c r="G91" s="85" t="s">
        <v>106</v>
      </c>
      <c r="H91" s="85">
        <v>3.5</v>
      </c>
      <c r="I91" s="85">
        <v>1</v>
      </c>
      <c r="J91" s="85">
        <v>4.5</v>
      </c>
      <c r="K91" s="85" t="s">
        <v>114</v>
      </c>
      <c r="L91" s="107"/>
      <c r="N91" s="330" t="s">
        <v>42</v>
      </c>
      <c r="O91" s="330"/>
      <c r="P91" s="331" t="s">
        <v>698</v>
      </c>
      <c r="Q91" s="331"/>
      <c r="R91" s="331"/>
      <c r="S91" s="331"/>
      <c r="T91" s="331"/>
      <c r="U91" s="331"/>
      <c r="V91" s="331"/>
      <c r="W91" s="331"/>
      <c r="X91" s="331"/>
      <c r="Y91" s="331"/>
      <c r="AO91" s="85">
        <f t="shared" si="7"/>
        <v>77</v>
      </c>
      <c r="AP91" s="85" t="s">
        <v>71</v>
      </c>
      <c r="AQ91" s="29">
        <v>63</v>
      </c>
      <c r="AR91" s="110" t="s">
        <v>93</v>
      </c>
      <c r="AS91" s="110" t="s">
        <v>585</v>
      </c>
      <c r="AT91" s="33">
        <v>39.9</v>
      </c>
      <c r="AU91" s="85" t="s">
        <v>276</v>
      </c>
      <c r="AV91" s="85">
        <v>3.5</v>
      </c>
      <c r="AW91" s="85">
        <v>1</v>
      </c>
      <c r="AX91" s="85">
        <v>4.5</v>
      </c>
      <c r="AY91" s="85" t="s">
        <v>114</v>
      </c>
      <c r="AZ91" s="107"/>
    </row>
    <row r="92" spans="1:52" s="104" customFormat="1" ht="33.75" customHeight="1">
      <c r="A92" s="85">
        <f t="shared" si="9"/>
        <v>78</v>
      </c>
      <c r="B92" s="85" t="s">
        <v>71</v>
      </c>
      <c r="C92" s="85">
        <v>110</v>
      </c>
      <c r="D92" s="85" t="s">
        <v>287</v>
      </c>
      <c r="E92" s="85" t="s">
        <v>171</v>
      </c>
      <c r="F92" s="85">
        <v>160.1</v>
      </c>
      <c r="G92" s="85" t="s">
        <v>106</v>
      </c>
      <c r="H92" s="85">
        <v>3.5</v>
      </c>
      <c r="I92" s="85">
        <v>1</v>
      </c>
      <c r="J92" s="85">
        <v>4.5</v>
      </c>
      <c r="K92" s="85" t="s">
        <v>114</v>
      </c>
      <c r="L92" s="107"/>
      <c r="N92" s="332" t="s">
        <v>43</v>
      </c>
      <c r="O92" s="332"/>
      <c r="P92" s="333"/>
      <c r="Q92" s="334"/>
      <c r="R92" s="334"/>
      <c r="S92" s="334"/>
      <c r="T92" s="335"/>
      <c r="U92" s="335"/>
      <c r="V92" s="335"/>
      <c r="W92" s="335"/>
      <c r="X92" s="335"/>
      <c r="Y92" s="335"/>
      <c r="AO92" s="85">
        <f t="shared" si="7"/>
        <v>78</v>
      </c>
      <c r="AP92" s="85" t="s">
        <v>71</v>
      </c>
      <c r="AQ92" s="29">
        <v>63</v>
      </c>
      <c r="AR92" s="110" t="s">
        <v>799</v>
      </c>
      <c r="AS92" s="110" t="s">
        <v>805</v>
      </c>
      <c r="AT92" s="33">
        <v>81</v>
      </c>
      <c r="AU92" s="85" t="s">
        <v>276</v>
      </c>
      <c r="AV92" s="85">
        <v>3.5</v>
      </c>
      <c r="AW92" s="85">
        <v>1</v>
      </c>
      <c r="AX92" s="85">
        <v>4.5</v>
      </c>
      <c r="AY92" s="85" t="s">
        <v>114</v>
      </c>
      <c r="AZ92" s="107"/>
    </row>
    <row r="93" spans="1:52" s="104" customFormat="1" ht="33.75" customHeight="1">
      <c r="A93" s="85">
        <f t="shared" si="9"/>
        <v>79</v>
      </c>
      <c r="B93" s="85" t="s">
        <v>71</v>
      </c>
      <c r="C93" s="85">
        <v>90</v>
      </c>
      <c r="D93" s="85" t="s">
        <v>171</v>
      </c>
      <c r="E93" s="85" t="s">
        <v>191</v>
      </c>
      <c r="F93" s="85">
        <v>25</v>
      </c>
      <c r="G93" s="85" t="s">
        <v>106</v>
      </c>
      <c r="H93" s="85">
        <v>3.5</v>
      </c>
      <c r="I93" s="85">
        <v>1</v>
      </c>
      <c r="J93" s="85">
        <v>4.5</v>
      </c>
      <c r="K93" s="85" t="s">
        <v>114</v>
      </c>
      <c r="L93" s="107"/>
      <c r="N93" s="109"/>
      <c r="O93" s="109"/>
      <c r="P93" s="109"/>
      <c r="Q93" s="109"/>
      <c r="R93" s="109"/>
      <c r="S93" s="109"/>
      <c r="T93" s="109"/>
      <c r="U93" s="109"/>
      <c r="V93" s="109"/>
      <c r="W93" s="109"/>
      <c r="X93" s="109"/>
      <c r="AO93" s="85">
        <f t="shared" si="7"/>
        <v>79</v>
      </c>
      <c r="AP93" s="85" t="s">
        <v>71</v>
      </c>
      <c r="AQ93" s="29">
        <v>63</v>
      </c>
      <c r="AR93" s="110" t="s">
        <v>805</v>
      </c>
      <c r="AS93" s="110" t="s">
        <v>623</v>
      </c>
      <c r="AT93" s="33">
        <v>45.8</v>
      </c>
      <c r="AU93" s="85" t="s">
        <v>276</v>
      </c>
      <c r="AV93" s="85">
        <v>3.5</v>
      </c>
      <c r="AW93" s="85">
        <v>1</v>
      </c>
      <c r="AX93" s="85">
        <v>4.5</v>
      </c>
      <c r="AY93" s="85" t="s">
        <v>114</v>
      </c>
      <c r="AZ93" s="107"/>
    </row>
    <row r="94" spans="1:52" s="104" customFormat="1" ht="33.75" customHeight="1">
      <c r="A94" s="85">
        <f t="shared" si="9"/>
        <v>80</v>
      </c>
      <c r="B94" s="85" t="s">
        <v>71</v>
      </c>
      <c r="C94" s="85">
        <v>63</v>
      </c>
      <c r="D94" s="85" t="s">
        <v>171</v>
      </c>
      <c r="E94" s="85" t="s">
        <v>409</v>
      </c>
      <c r="F94" s="85">
        <v>85.9</v>
      </c>
      <c r="G94" s="85" t="s">
        <v>106</v>
      </c>
      <c r="H94" s="85">
        <v>3.5</v>
      </c>
      <c r="I94" s="85">
        <v>1</v>
      </c>
      <c r="J94" s="85">
        <v>4.5</v>
      </c>
      <c r="K94" s="85" t="s">
        <v>114</v>
      </c>
      <c r="L94" s="107"/>
      <c r="N94" s="109"/>
      <c r="O94" s="109"/>
      <c r="P94" s="109"/>
      <c r="Q94" s="109"/>
      <c r="R94" s="109"/>
      <c r="S94" s="109"/>
      <c r="T94" s="109"/>
      <c r="U94" s="109"/>
      <c r="V94" s="109"/>
      <c r="W94" s="109"/>
      <c r="X94" s="109"/>
      <c r="AO94" s="85">
        <f t="shared" si="7"/>
        <v>80</v>
      </c>
      <c r="AP94" s="85" t="s">
        <v>71</v>
      </c>
      <c r="AQ94" s="29">
        <v>63</v>
      </c>
      <c r="AR94" s="110" t="s">
        <v>623</v>
      </c>
      <c r="AS94" s="110" t="s">
        <v>806</v>
      </c>
      <c r="AT94" s="33">
        <v>125.3</v>
      </c>
      <c r="AU94" s="85" t="s">
        <v>276</v>
      </c>
      <c r="AV94" s="85">
        <v>3.5</v>
      </c>
      <c r="AW94" s="85">
        <v>1</v>
      </c>
      <c r="AX94" s="85">
        <v>4.5</v>
      </c>
      <c r="AY94" s="85" t="s">
        <v>114</v>
      </c>
      <c r="AZ94" s="107"/>
    </row>
    <row r="95" spans="1:52" s="104" customFormat="1" ht="33.75" customHeight="1">
      <c r="A95" s="85">
        <f t="shared" si="9"/>
        <v>81</v>
      </c>
      <c r="B95" s="85" t="s">
        <v>71</v>
      </c>
      <c r="C95" s="85">
        <v>63</v>
      </c>
      <c r="D95" s="85" t="s">
        <v>191</v>
      </c>
      <c r="E95" s="85" t="s">
        <v>377</v>
      </c>
      <c r="F95" s="85">
        <v>29</v>
      </c>
      <c r="G95" s="85" t="s">
        <v>106</v>
      </c>
      <c r="H95" s="85">
        <v>3.5</v>
      </c>
      <c r="I95" s="85">
        <v>1</v>
      </c>
      <c r="J95" s="85">
        <v>4.5</v>
      </c>
      <c r="K95" s="85" t="s">
        <v>114</v>
      </c>
      <c r="L95" s="107"/>
      <c r="AO95" s="85">
        <f t="shared" si="7"/>
        <v>81</v>
      </c>
      <c r="AP95" s="85" t="s">
        <v>71</v>
      </c>
      <c r="AQ95" s="29">
        <v>63</v>
      </c>
      <c r="AR95" s="110" t="s">
        <v>623</v>
      </c>
      <c r="AS95" s="110" t="s">
        <v>81</v>
      </c>
      <c r="AT95" s="33">
        <v>22</v>
      </c>
      <c r="AU95" s="85" t="s">
        <v>276</v>
      </c>
      <c r="AV95" s="85">
        <v>3.5</v>
      </c>
      <c r="AW95" s="85">
        <v>1</v>
      </c>
      <c r="AX95" s="85">
        <v>4.5</v>
      </c>
      <c r="AY95" s="85" t="s">
        <v>114</v>
      </c>
      <c r="AZ95" s="107"/>
    </row>
    <row r="96" spans="1:52" s="104" customFormat="1" ht="33.75" customHeight="1">
      <c r="A96" s="66"/>
      <c r="B96" s="66"/>
      <c r="C96" s="66" t="s">
        <v>86</v>
      </c>
      <c r="D96" s="66"/>
      <c r="E96" s="66"/>
      <c r="F96" s="66"/>
      <c r="G96" s="66" t="s">
        <v>87</v>
      </c>
      <c r="H96" s="66"/>
      <c r="I96" s="66"/>
      <c r="J96" s="66" t="s">
        <v>39</v>
      </c>
      <c r="K96" s="66"/>
      <c r="L96" s="66"/>
      <c r="AO96" s="85">
        <f t="shared" si="7"/>
        <v>82</v>
      </c>
      <c r="AP96" s="85" t="s">
        <v>71</v>
      </c>
      <c r="AQ96" s="29">
        <v>63</v>
      </c>
      <c r="AR96" s="110" t="s">
        <v>807</v>
      </c>
      <c r="AS96" s="110" t="s">
        <v>808</v>
      </c>
      <c r="AT96" s="33">
        <v>16</v>
      </c>
      <c r="AU96" s="85" t="s">
        <v>276</v>
      </c>
      <c r="AV96" s="85">
        <v>3.5</v>
      </c>
      <c r="AW96" s="85">
        <v>1</v>
      </c>
      <c r="AX96" s="85">
        <v>4.5</v>
      </c>
      <c r="AY96" s="85" t="s">
        <v>114</v>
      </c>
      <c r="AZ96" s="107"/>
    </row>
    <row r="97" spans="1:52" s="104" customFormat="1" ht="33.75" customHeight="1">
      <c r="A97" s="67" t="s">
        <v>40</v>
      </c>
      <c r="B97" s="67"/>
      <c r="C97" s="68"/>
      <c r="D97" s="68"/>
      <c r="E97" s="68"/>
      <c r="F97" s="68"/>
      <c r="G97" s="68"/>
      <c r="H97" s="68"/>
      <c r="I97" s="68"/>
      <c r="J97" s="68"/>
      <c r="K97" s="68"/>
      <c r="L97" s="68"/>
      <c r="AO97" s="85">
        <f t="shared" si="7"/>
        <v>83</v>
      </c>
      <c r="AP97" s="85" t="s">
        <v>71</v>
      </c>
      <c r="AQ97" s="29">
        <v>63</v>
      </c>
      <c r="AR97" s="110" t="s">
        <v>806</v>
      </c>
      <c r="AS97" s="110" t="s">
        <v>809</v>
      </c>
      <c r="AT97" s="33">
        <v>52.6</v>
      </c>
      <c r="AU97" s="85" t="s">
        <v>276</v>
      </c>
      <c r="AV97" s="85">
        <v>3.5</v>
      </c>
      <c r="AW97" s="85">
        <v>1</v>
      </c>
      <c r="AX97" s="85">
        <v>4.5</v>
      </c>
      <c r="AY97" s="85" t="s">
        <v>114</v>
      </c>
      <c r="AZ97" s="107"/>
    </row>
    <row r="98" spans="1:52" s="104" customFormat="1" ht="33.75" customHeight="1">
      <c r="A98" s="67" t="s">
        <v>41</v>
      </c>
      <c r="B98" s="67"/>
      <c r="C98" s="68" t="s">
        <v>133</v>
      </c>
      <c r="D98" s="68"/>
      <c r="E98" s="68"/>
      <c r="F98" s="68"/>
      <c r="G98" s="68"/>
      <c r="H98" s="68"/>
      <c r="I98" s="68"/>
      <c r="J98" s="68"/>
      <c r="K98" s="68"/>
      <c r="L98" s="68"/>
      <c r="AO98" s="85">
        <f t="shared" si="7"/>
        <v>84</v>
      </c>
      <c r="AP98" s="85" t="s">
        <v>71</v>
      </c>
      <c r="AQ98" s="29">
        <v>63</v>
      </c>
      <c r="AR98" s="110" t="s">
        <v>809</v>
      </c>
      <c r="AS98" s="110" t="s">
        <v>585</v>
      </c>
      <c r="AT98" s="33">
        <v>18.899999999999999</v>
      </c>
      <c r="AU98" s="85" t="s">
        <v>276</v>
      </c>
      <c r="AV98" s="85">
        <v>3.5</v>
      </c>
      <c r="AW98" s="85">
        <v>1</v>
      </c>
      <c r="AX98" s="85">
        <v>4.5</v>
      </c>
      <c r="AY98" s="85" t="s">
        <v>114</v>
      </c>
      <c r="AZ98" s="107"/>
    </row>
    <row r="99" spans="1:52" s="104" customFormat="1" ht="33.75" customHeight="1">
      <c r="A99" s="67" t="s">
        <v>42</v>
      </c>
      <c r="B99" s="67"/>
      <c r="C99" s="68" t="s">
        <v>698</v>
      </c>
      <c r="D99" s="68"/>
      <c r="E99" s="68"/>
      <c r="F99" s="68"/>
      <c r="G99" s="68"/>
      <c r="H99" s="68"/>
      <c r="I99" s="68"/>
      <c r="J99" s="68"/>
      <c r="K99" s="68"/>
      <c r="L99" s="68"/>
      <c r="AO99" s="85">
        <f t="shared" si="7"/>
        <v>85</v>
      </c>
      <c r="AP99" s="85" t="s">
        <v>71</v>
      </c>
      <c r="AQ99" s="29">
        <v>63</v>
      </c>
      <c r="AR99" s="110" t="s">
        <v>585</v>
      </c>
      <c r="AS99" s="110" t="s">
        <v>810</v>
      </c>
      <c r="AT99" s="33">
        <v>129.19999999999999</v>
      </c>
      <c r="AU99" s="85" t="s">
        <v>276</v>
      </c>
      <c r="AV99" s="85">
        <v>3.5</v>
      </c>
      <c r="AW99" s="85">
        <v>1</v>
      </c>
      <c r="AX99" s="85">
        <v>4.5</v>
      </c>
      <c r="AY99" s="85" t="s">
        <v>114</v>
      </c>
      <c r="AZ99" s="107"/>
    </row>
    <row r="100" spans="1:52" s="104" customFormat="1" ht="33.75" customHeight="1">
      <c r="A100" s="330" t="s">
        <v>43</v>
      </c>
      <c r="B100" s="330"/>
      <c r="C100" s="336"/>
      <c r="D100" s="337"/>
      <c r="E100" s="337"/>
      <c r="F100" s="337"/>
      <c r="G100" s="331"/>
      <c r="H100" s="331"/>
      <c r="I100" s="331"/>
      <c r="J100" s="331"/>
      <c r="K100" s="331"/>
      <c r="L100" s="331"/>
      <c r="AO100" s="85">
        <f t="shared" si="7"/>
        <v>86</v>
      </c>
      <c r="AP100" s="85" t="s">
        <v>71</v>
      </c>
      <c r="AQ100" s="29">
        <v>63</v>
      </c>
      <c r="AR100" s="110" t="s">
        <v>810</v>
      </c>
      <c r="AS100" s="110" t="s">
        <v>79</v>
      </c>
      <c r="AT100" s="33">
        <v>34.6</v>
      </c>
      <c r="AU100" s="85" t="s">
        <v>276</v>
      </c>
      <c r="AV100" s="85">
        <v>3.5</v>
      </c>
      <c r="AW100" s="85">
        <v>1</v>
      </c>
      <c r="AX100" s="85">
        <v>4.5</v>
      </c>
      <c r="AY100" s="85" t="s">
        <v>114</v>
      </c>
      <c r="AZ100" s="107"/>
    </row>
    <row r="101" spans="1:52" s="104" customFormat="1" ht="35.25" customHeight="1">
      <c r="AO101" s="85">
        <f t="shared" si="7"/>
        <v>87</v>
      </c>
      <c r="AP101" s="85" t="s">
        <v>71</v>
      </c>
      <c r="AQ101" s="29">
        <v>63</v>
      </c>
      <c r="AR101" s="110" t="s">
        <v>723</v>
      </c>
      <c r="AS101" s="110" t="s">
        <v>725</v>
      </c>
      <c r="AT101" s="33">
        <v>87.3</v>
      </c>
      <c r="AU101" s="85" t="s">
        <v>276</v>
      </c>
      <c r="AV101" s="85">
        <v>3.5</v>
      </c>
      <c r="AW101" s="85">
        <v>1</v>
      </c>
      <c r="AX101" s="85">
        <v>4.5</v>
      </c>
      <c r="AY101" s="85" t="s">
        <v>114</v>
      </c>
      <c r="AZ101" s="107"/>
    </row>
    <row r="102" spans="1:52" ht="35.25" customHeight="1">
      <c r="AO102" s="29">
        <f t="shared" si="7"/>
        <v>88</v>
      </c>
      <c r="AP102" s="29" t="s">
        <v>71</v>
      </c>
      <c r="AQ102" s="29">
        <v>63</v>
      </c>
      <c r="AR102" s="110" t="s">
        <v>753</v>
      </c>
      <c r="AS102" s="110" t="s">
        <v>811</v>
      </c>
      <c r="AT102" s="33">
        <v>77.8</v>
      </c>
      <c r="AU102" s="29" t="s">
        <v>276</v>
      </c>
      <c r="AV102" s="29">
        <v>3.5</v>
      </c>
      <c r="AW102" s="29">
        <v>1</v>
      </c>
      <c r="AX102" s="29">
        <v>4.5</v>
      </c>
      <c r="AY102" s="29" t="s">
        <v>114</v>
      </c>
      <c r="AZ102" s="61"/>
    </row>
    <row r="103" spans="1:52" ht="35.25" customHeight="1">
      <c r="AO103" s="324"/>
      <c r="AP103" s="324"/>
      <c r="AQ103" s="325" t="s">
        <v>86</v>
      </c>
      <c r="AR103" s="325"/>
      <c r="AS103" s="325"/>
      <c r="AT103" s="325"/>
      <c r="AU103" s="325" t="s">
        <v>87</v>
      </c>
      <c r="AV103" s="325"/>
      <c r="AW103" s="325"/>
      <c r="AX103" s="325" t="s">
        <v>39</v>
      </c>
      <c r="AY103" s="325"/>
      <c r="AZ103" s="325"/>
    </row>
    <row r="104" spans="1:52" ht="35.25" customHeight="1">
      <c r="AO104" s="295" t="s">
        <v>40</v>
      </c>
      <c r="AP104" s="295"/>
      <c r="AQ104" s="317"/>
      <c r="AR104" s="317"/>
      <c r="AS104" s="317"/>
      <c r="AT104" s="317"/>
      <c r="AU104" s="317"/>
      <c r="AV104" s="317"/>
      <c r="AW104" s="317"/>
      <c r="AX104" s="317"/>
      <c r="AY104" s="317"/>
      <c r="AZ104" s="317"/>
    </row>
    <row r="105" spans="1:52" ht="35.25" customHeight="1">
      <c r="AO105" s="295" t="s">
        <v>41</v>
      </c>
      <c r="AP105" s="295"/>
      <c r="AQ105" s="317" t="s">
        <v>133</v>
      </c>
      <c r="AR105" s="317"/>
      <c r="AS105" s="317"/>
      <c r="AT105" s="317"/>
      <c r="AU105" s="317"/>
      <c r="AV105" s="317"/>
      <c r="AW105" s="317"/>
      <c r="AX105" s="317"/>
      <c r="AY105" s="317"/>
      <c r="AZ105" s="317"/>
    </row>
    <row r="106" spans="1:52" ht="35.25" customHeight="1">
      <c r="AO106" s="295" t="s">
        <v>42</v>
      </c>
      <c r="AP106" s="295"/>
      <c r="AQ106" s="317" t="s">
        <v>698</v>
      </c>
      <c r="AR106" s="317"/>
      <c r="AS106" s="317"/>
      <c r="AT106" s="317"/>
      <c r="AU106" s="317"/>
      <c r="AV106" s="317"/>
      <c r="AW106" s="317"/>
      <c r="AX106" s="317"/>
      <c r="AY106" s="317"/>
      <c r="AZ106" s="317"/>
    </row>
    <row r="107" spans="1:52" ht="35.25" customHeight="1">
      <c r="AO107" s="295" t="s">
        <v>43</v>
      </c>
      <c r="AP107" s="295"/>
      <c r="AQ107" s="315"/>
      <c r="AR107" s="316"/>
      <c r="AS107" s="316"/>
      <c r="AT107" s="316"/>
      <c r="AU107" s="317"/>
      <c r="AV107" s="317"/>
      <c r="AW107" s="317"/>
      <c r="AX107" s="317"/>
      <c r="AY107" s="317"/>
      <c r="AZ107" s="317"/>
    </row>
    <row r="108" spans="1:52" ht="35.25" customHeight="1">
      <c r="AO108" s="46"/>
      <c r="AP108" s="46"/>
      <c r="AQ108" s="46"/>
      <c r="AR108" s="46"/>
      <c r="AS108" s="46"/>
      <c r="AT108" s="99"/>
      <c r="AU108" s="46"/>
      <c r="AV108" s="46"/>
      <c r="AW108" s="46"/>
      <c r="AX108" s="46"/>
      <c r="AY108" s="46"/>
    </row>
    <row r="109" spans="1:52" ht="35.25" customHeight="1">
      <c r="AO109" s="46"/>
      <c r="AP109" s="46"/>
      <c r="AQ109" s="46"/>
      <c r="AR109" s="46"/>
      <c r="AS109" s="46"/>
      <c r="AT109" s="99"/>
      <c r="AU109" s="46"/>
      <c r="AV109" s="46"/>
      <c r="AW109" s="46"/>
      <c r="AX109" s="46"/>
      <c r="AY109" s="46"/>
    </row>
    <row r="110" spans="1:52" ht="35.25" customHeight="1">
      <c r="AO110" s="46"/>
      <c r="AP110" s="46"/>
      <c r="AQ110" s="46"/>
      <c r="AR110" s="46"/>
      <c r="AS110" s="46"/>
      <c r="AT110" s="99"/>
      <c r="AU110" s="46"/>
      <c r="AV110" s="46"/>
      <c r="AW110" s="46"/>
      <c r="AX110" s="46"/>
      <c r="AY110" s="46"/>
    </row>
    <row r="111" spans="1:52" ht="35.25" customHeight="1">
      <c r="AO111" s="46"/>
      <c r="AP111" s="46"/>
      <c r="AQ111" s="46"/>
      <c r="AR111" s="46"/>
      <c r="AS111" s="46"/>
      <c r="AT111" s="99"/>
      <c r="AU111" s="46"/>
      <c r="AV111" s="46"/>
      <c r="AW111" s="46"/>
      <c r="AX111" s="46"/>
      <c r="AY111" s="46"/>
    </row>
    <row r="112" spans="1:52" ht="35.25" customHeight="1">
      <c r="AO112" s="46"/>
      <c r="AP112" s="46"/>
      <c r="AQ112" s="46"/>
      <c r="AR112" s="46"/>
      <c r="AS112" s="46"/>
      <c r="AT112" s="99"/>
      <c r="AU112" s="46"/>
      <c r="AV112" s="46"/>
      <c r="AW112" s="46"/>
      <c r="AX112" s="46"/>
      <c r="AY112" s="46"/>
    </row>
    <row r="113" spans="41:52" ht="35.25" customHeight="1">
      <c r="AO113" s="46"/>
      <c r="AP113" s="46"/>
      <c r="AQ113" s="46"/>
      <c r="AR113" s="46"/>
      <c r="AS113" s="46"/>
      <c r="AT113" s="99"/>
      <c r="AU113" s="46"/>
      <c r="AV113" s="46"/>
      <c r="AW113" s="46"/>
      <c r="AX113" s="46"/>
      <c r="AY113" s="46"/>
    </row>
    <row r="114" spans="41:52" ht="35.25" customHeight="1">
      <c r="AO114" s="46"/>
      <c r="AP114" s="46"/>
      <c r="AQ114" s="46"/>
      <c r="AR114" s="46"/>
      <c r="AS114" s="46"/>
      <c r="AT114" s="99"/>
      <c r="AU114" s="46"/>
      <c r="AV114" s="46"/>
      <c r="AW114" s="46"/>
      <c r="AX114" s="46"/>
      <c r="AY114" s="46"/>
    </row>
    <row r="115" spans="41:52" ht="35.25" customHeight="1">
      <c r="AO115" s="46"/>
      <c r="AP115" s="46"/>
      <c r="AQ115" s="46"/>
      <c r="AR115" s="46"/>
      <c r="AS115" s="46"/>
      <c r="AT115" s="99"/>
      <c r="AU115" s="46"/>
      <c r="AV115" s="46"/>
      <c r="AW115" s="46"/>
      <c r="AX115" s="46"/>
      <c r="AY115" s="46"/>
    </row>
    <row r="116" spans="41:52" ht="35.25" customHeight="1">
      <c r="AO116" s="46"/>
      <c r="AP116" s="46"/>
      <c r="AQ116" s="46"/>
      <c r="AR116" s="46"/>
      <c r="AS116" s="46"/>
      <c r="AT116" s="99"/>
      <c r="AU116" s="46"/>
      <c r="AV116" s="46"/>
      <c r="AW116" s="46"/>
      <c r="AX116" s="46"/>
      <c r="AY116" s="46"/>
    </row>
    <row r="117" spans="41:52" ht="35.25" customHeight="1">
      <c r="AO117" s="46"/>
      <c r="AP117" s="46"/>
      <c r="AQ117" s="46"/>
      <c r="AR117" s="46"/>
      <c r="AS117" s="46"/>
      <c r="AT117" s="99"/>
      <c r="AU117" s="46"/>
      <c r="AV117" s="46"/>
      <c r="AW117" s="46"/>
      <c r="AX117" s="46"/>
      <c r="AY117" s="46"/>
    </row>
    <row r="118" spans="41:52" ht="35.25" customHeight="1">
      <c r="AO118" s="46"/>
      <c r="AP118" s="46"/>
      <c r="AQ118" s="46"/>
      <c r="AR118" s="46"/>
      <c r="AS118" s="46"/>
      <c r="AT118" s="99"/>
      <c r="AU118" s="46"/>
      <c r="AV118" s="46"/>
      <c r="AW118" s="46"/>
      <c r="AX118" s="46"/>
      <c r="AY118" s="46"/>
    </row>
    <row r="119" spans="41:52" ht="35.25" customHeight="1">
      <c r="AO119" s="46"/>
      <c r="AP119" s="46"/>
      <c r="AQ119" s="46"/>
      <c r="AR119" s="46"/>
      <c r="AS119" s="46"/>
      <c r="AT119" s="99"/>
      <c r="AU119" s="46"/>
      <c r="AV119" s="46"/>
      <c r="AW119" s="46"/>
      <c r="AX119" s="46"/>
      <c r="AY119" s="46"/>
    </row>
    <row r="120" spans="41:52" ht="35.25" customHeight="1">
      <c r="AO120" s="46"/>
      <c r="AP120" s="46"/>
      <c r="AQ120" s="46"/>
      <c r="AR120" s="46"/>
      <c r="AS120" s="46"/>
      <c r="AT120" s="99"/>
      <c r="AU120" s="46"/>
      <c r="AV120" s="46"/>
      <c r="AW120" s="46"/>
      <c r="AX120" s="46"/>
      <c r="AY120" s="46"/>
    </row>
    <row r="121" spans="41:52" ht="35.25" customHeight="1">
      <c r="AO121" s="322"/>
      <c r="AP121" s="322"/>
      <c r="AQ121" s="323"/>
      <c r="AR121" s="323"/>
      <c r="AS121" s="323"/>
      <c r="AT121" s="323"/>
      <c r="AU121" s="323"/>
      <c r="AV121" s="323"/>
      <c r="AW121" s="323"/>
      <c r="AX121" s="323"/>
      <c r="AY121" s="323"/>
      <c r="AZ121" s="323"/>
    </row>
    <row r="122" spans="41:52" ht="35.25" customHeight="1">
      <c r="AO122" s="318"/>
      <c r="AP122" s="318"/>
      <c r="AQ122" s="321"/>
      <c r="AR122" s="321"/>
      <c r="AS122" s="321"/>
      <c r="AT122" s="321"/>
      <c r="AU122" s="321"/>
      <c r="AV122" s="321"/>
      <c r="AW122" s="321"/>
      <c r="AX122" s="321"/>
      <c r="AY122" s="321"/>
      <c r="AZ122" s="321"/>
    </row>
    <row r="123" spans="41:52" ht="35.25" customHeight="1">
      <c r="AO123" s="318"/>
      <c r="AP123" s="318"/>
      <c r="AQ123" s="321"/>
      <c r="AR123" s="321"/>
      <c r="AS123" s="321"/>
      <c r="AT123" s="321"/>
      <c r="AU123" s="321"/>
      <c r="AV123" s="321"/>
      <c r="AW123" s="321"/>
      <c r="AX123" s="321"/>
      <c r="AY123" s="321"/>
      <c r="AZ123" s="321"/>
    </row>
    <row r="124" spans="41:52" ht="35.25" customHeight="1">
      <c r="AO124" s="318"/>
      <c r="AP124" s="318"/>
      <c r="AQ124" s="321"/>
      <c r="AR124" s="321"/>
      <c r="AS124" s="321"/>
      <c r="AT124" s="321"/>
      <c r="AU124" s="321"/>
      <c r="AV124" s="321"/>
      <c r="AW124" s="321"/>
      <c r="AX124" s="321"/>
      <c r="AY124" s="321"/>
      <c r="AZ124" s="321"/>
    </row>
    <row r="125" spans="41:52" ht="35.25" customHeight="1">
      <c r="AO125" s="318"/>
      <c r="AP125" s="318"/>
      <c r="AQ125" s="319"/>
      <c r="AR125" s="320"/>
      <c r="AS125" s="320"/>
      <c r="AT125" s="320"/>
      <c r="AU125" s="321"/>
      <c r="AV125" s="321"/>
      <c r="AW125" s="321"/>
      <c r="AX125" s="321"/>
      <c r="AY125" s="321"/>
      <c r="AZ125" s="321"/>
    </row>
    <row r="208" ht="14.25" customHeight="1"/>
    <row r="345" spans="1:6">
      <c r="A345" s="46">
        <f>1+AO120</f>
        <v>1</v>
      </c>
      <c r="B345" s="46" t="s">
        <v>71</v>
      </c>
      <c r="C345" s="46">
        <v>63</v>
      </c>
      <c r="D345" s="46" t="s">
        <v>662</v>
      </c>
      <c r="E345" s="46" t="s">
        <v>663</v>
      </c>
      <c r="F345" s="99">
        <v>56.6</v>
      </c>
    </row>
    <row r="346" spans="1:6">
      <c r="A346" s="46">
        <f t="shared" ref="A346:A360" si="10">1+A345</f>
        <v>2</v>
      </c>
      <c r="B346" s="46" t="s">
        <v>71</v>
      </c>
      <c r="C346" s="46">
        <v>63</v>
      </c>
      <c r="D346" s="46" t="s">
        <v>205</v>
      </c>
      <c r="E346" s="46" t="s">
        <v>241</v>
      </c>
      <c r="F346" s="99">
        <v>33.799999999999997</v>
      </c>
    </row>
    <row r="347" spans="1:6">
      <c r="A347" s="46">
        <f t="shared" si="10"/>
        <v>3</v>
      </c>
      <c r="B347" s="46" t="s">
        <v>71</v>
      </c>
      <c r="C347" s="46">
        <v>63</v>
      </c>
      <c r="D347" s="46" t="s">
        <v>245</v>
      </c>
      <c r="E347" s="46" t="s">
        <v>180</v>
      </c>
      <c r="F347" s="99">
        <v>95.6</v>
      </c>
    </row>
    <row r="348" spans="1:6">
      <c r="A348" s="46">
        <f t="shared" si="10"/>
        <v>4</v>
      </c>
      <c r="B348" s="46" t="s">
        <v>71</v>
      </c>
      <c r="C348" s="46">
        <v>63</v>
      </c>
      <c r="D348" s="46" t="s">
        <v>536</v>
      </c>
      <c r="E348" s="46" t="s">
        <v>247</v>
      </c>
      <c r="F348" s="99">
        <v>10</v>
      </c>
    </row>
    <row r="349" spans="1:6">
      <c r="A349" s="46">
        <f t="shared" si="10"/>
        <v>5</v>
      </c>
      <c r="B349" s="46" t="s">
        <v>71</v>
      </c>
      <c r="C349" s="46">
        <v>63</v>
      </c>
      <c r="D349" s="46" t="s">
        <v>237</v>
      </c>
      <c r="E349" s="46" t="s">
        <v>148</v>
      </c>
      <c r="F349" s="99">
        <v>18.7</v>
      </c>
    </row>
    <row r="350" spans="1:6">
      <c r="A350" s="46">
        <f t="shared" si="10"/>
        <v>6</v>
      </c>
      <c r="B350" s="46" t="s">
        <v>71</v>
      </c>
      <c r="C350" s="46">
        <v>63</v>
      </c>
      <c r="D350" s="46" t="s">
        <v>668</v>
      </c>
      <c r="E350" s="46" t="s">
        <v>615</v>
      </c>
      <c r="F350" s="99">
        <v>56.6</v>
      </c>
    </row>
    <row r="351" spans="1:6">
      <c r="A351" s="46">
        <f t="shared" si="10"/>
        <v>7</v>
      </c>
      <c r="B351" s="46" t="s">
        <v>71</v>
      </c>
      <c r="C351" s="46">
        <v>63</v>
      </c>
      <c r="D351" s="46" t="s">
        <v>237</v>
      </c>
      <c r="E351" s="46" t="s">
        <v>148</v>
      </c>
      <c r="F351" s="99">
        <v>25</v>
      </c>
    </row>
    <row r="352" spans="1:6">
      <c r="A352" s="46">
        <f t="shared" si="10"/>
        <v>8</v>
      </c>
      <c r="B352" s="46" t="s">
        <v>71</v>
      </c>
      <c r="C352" s="46">
        <v>63</v>
      </c>
      <c r="D352" s="46" t="s">
        <v>722</v>
      </c>
      <c r="E352" s="46" t="s">
        <v>719</v>
      </c>
      <c r="F352" s="99">
        <v>86.3</v>
      </c>
    </row>
    <row r="353" spans="1:6">
      <c r="A353" s="46">
        <f t="shared" si="10"/>
        <v>9</v>
      </c>
      <c r="B353" s="46" t="s">
        <v>71</v>
      </c>
      <c r="C353" s="46">
        <v>63</v>
      </c>
      <c r="D353" s="46" t="s">
        <v>742</v>
      </c>
      <c r="E353" s="46" t="s">
        <v>750</v>
      </c>
      <c r="F353" s="99">
        <v>29.8</v>
      </c>
    </row>
    <row r="354" spans="1:6">
      <c r="A354" s="46">
        <f t="shared" si="10"/>
        <v>10</v>
      </c>
      <c r="B354" s="46" t="s">
        <v>71</v>
      </c>
      <c r="C354" s="46">
        <v>63</v>
      </c>
      <c r="D354" s="46" t="s">
        <v>673</v>
      </c>
      <c r="E354" s="46" t="s">
        <v>674</v>
      </c>
      <c r="F354" s="99">
        <v>278.39999999999998</v>
      </c>
    </row>
    <row r="355" spans="1:6">
      <c r="A355" s="46">
        <f t="shared" si="10"/>
        <v>11</v>
      </c>
      <c r="B355" s="46" t="s">
        <v>71</v>
      </c>
      <c r="C355" s="46">
        <v>63</v>
      </c>
      <c r="D355" s="46" t="s">
        <v>167</v>
      </c>
      <c r="E355" s="46" t="s">
        <v>229</v>
      </c>
      <c r="F355" s="99">
        <v>47.3</v>
      </c>
    </row>
    <row r="356" spans="1:6">
      <c r="A356" s="46">
        <f t="shared" si="10"/>
        <v>12</v>
      </c>
      <c r="B356" s="46" t="s">
        <v>71</v>
      </c>
      <c r="C356" s="46">
        <v>63</v>
      </c>
      <c r="D356" s="46" t="s">
        <v>769</v>
      </c>
      <c r="E356" s="46" t="s">
        <v>310</v>
      </c>
      <c r="F356" s="99">
        <v>73.5</v>
      </c>
    </row>
    <row r="357" spans="1:6">
      <c r="A357" s="46">
        <f t="shared" si="10"/>
        <v>13</v>
      </c>
      <c r="B357" s="46" t="s">
        <v>71</v>
      </c>
      <c r="C357" s="46">
        <v>63</v>
      </c>
      <c r="D357" s="46" t="s">
        <v>667</v>
      </c>
      <c r="E357" s="46" t="s">
        <v>681</v>
      </c>
      <c r="F357" s="99">
        <v>27.6</v>
      </c>
    </row>
    <row r="358" spans="1:6">
      <c r="A358" s="46">
        <f t="shared" si="10"/>
        <v>14</v>
      </c>
      <c r="B358" s="46" t="s">
        <v>71</v>
      </c>
      <c r="C358" s="46">
        <v>63</v>
      </c>
      <c r="D358" s="46" t="s">
        <v>685</v>
      </c>
      <c r="E358" s="46" t="s">
        <v>686</v>
      </c>
      <c r="F358" s="99">
        <v>121.1</v>
      </c>
    </row>
    <row r="359" spans="1:6">
      <c r="A359" s="46">
        <f t="shared" si="10"/>
        <v>15</v>
      </c>
      <c r="B359" s="46" t="s">
        <v>71</v>
      </c>
      <c r="C359" s="46">
        <v>63</v>
      </c>
      <c r="D359" s="46" t="s">
        <v>335</v>
      </c>
      <c r="E359" s="46" t="s">
        <v>195</v>
      </c>
      <c r="F359" s="99">
        <v>29.6</v>
      </c>
    </row>
    <row r="360" spans="1:6">
      <c r="A360" s="46">
        <f t="shared" si="10"/>
        <v>16</v>
      </c>
      <c r="B360" s="46" t="s">
        <v>71</v>
      </c>
      <c r="C360" s="46">
        <v>63</v>
      </c>
      <c r="D360" s="46" t="s">
        <v>665</v>
      </c>
      <c r="E360" s="46" t="s">
        <v>381</v>
      </c>
      <c r="F360" s="99">
        <v>19.100000000000001</v>
      </c>
    </row>
  </sheetData>
  <mergeCells count="194">
    <mergeCell ref="A5:B5"/>
    <mergeCell ref="N5:O5"/>
    <mergeCell ref="AB5:AC5"/>
    <mergeCell ref="AO5:AP5"/>
    <mergeCell ref="BB5:BC5"/>
    <mergeCell ref="A6:B6"/>
    <mergeCell ref="N6:O6"/>
    <mergeCell ref="AB6:AC6"/>
    <mergeCell ref="AO6:AP6"/>
    <mergeCell ref="BB6:BC6"/>
    <mergeCell ref="A7:B7"/>
    <mergeCell ref="N7:O7"/>
    <mergeCell ref="AB7:AC7"/>
    <mergeCell ref="AO7:AP7"/>
    <mergeCell ref="BB7:BC7"/>
    <mergeCell ref="A8:B8"/>
    <mergeCell ref="N8:O8"/>
    <mergeCell ref="AB8:AC8"/>
    <mergeCell ref="AO8:AP8"/>
    <mergeCell ref="BB8:BC8"/>
    <mergeCell ref="A9:L9"/>
    <mergeCell ref="N9:Y9"/>
    <mergeCell ref="AB9:AM9"/>
    <mergeCell ref="AO9:AZ9"/>
    <mergeCell ref="BB9:BM9"/>
    <mergeCell ref="A11:L11"/>
    <mergeCell ref="N11:Y11"/>
    <mergeCell ref="AB11:AM11"/>
    <mergeCell ref="AO11:AZ11"/>
    <mergeCell ref="BB11:BM11"/>
    <mergeCell ref="U12:V12"/>
    <mergeCell ref="AI12:AJ12"/>
    <mergeCell ref="AW12:AX12"/>
    <mergeCell ref="BC12:BD12"/>
    <mergeCell ref="BI12:BJ12"/>
    <mergeCell ref="H13:J13"/>
    <mergeCell ref="U13:W13"/>
    <mergeCell ref="AI13:AK13"/>
    <mergeCell ref="AV13:AX13"/>
    <mergeCell ref="BI13:BK13"/>
    <mergeCell ref="AM13:AM14"/>
    <mergeCell ref="AZ13:AZ14"/>
    <mergeCell ref="BB25:BC25"/>
    <mergeCell ref="BD25:BG25"/>
    <mergeCell ref="BH25:BJ25"/>
    <mergeCell ref="BK25:BM25"/>
    <mergeCell ref="BB26:BC26"/>
    <mergeCell ref="BD26:BG26"/>
    <mergeCell ref="BH26:BJ26"/>
    <mergeCell ref="BK26:BM26"/>
    <mergeCell ref="BB27:BC27"/>
    <mergeCell ref="BD27:BG27"/>
    <mergeCell ref="BH27:BJ27"/>
    <mergeCell ref="BK27:BM27"/>
    <mergeCell ref="BB28:BC28"/>
    <mergeCell ref="BD28:BG28"/>
    <mergeCell ref="BH28:BJ28"/>
    <mergeCell ref="BK28:BM28"/>
    <mergeCell ref="BB29:BC29"/>
    <mergeCell ref="BD29:BG29"/>
    <mergeCell ref="BH29:BJ29"/>
    <mergeCell ref="BK29:BM29"/>
    <mergeCell ref="AD78:AG78"/>
    <mergeCell ref="AH78:AJ78"/>
    <mergeCell ref="AK78:AM78"/>
    <mergeCell ref="AB79:AC79"/>
    <mergeCell ref="AD79:AG79"/>
    <mergeCell ref="AH79:AJ79"/>
    <mergeCell ref="AK79:AM79"/>
    <mergeCell ref="AB80:AC80"/>
    <mergeCell ref="AD80:AG80"/>
    <mergeCell ref="AH80:AJ80"/>
    <mergeCell ref="AK80:AM80"/>
    <mergeCell ref="AB81:AC81"/>
    <mergeCell ref="AD81:AG81"/>
    <mergeCell ref="AH81:AJ81"/>
    <mergeCell ref="AK81:AM81"/>
    <mergeCell ref="N88:O88"/>
    <mergeCell ref="P88:S88"/>
    <mergeCell ref="T88:V88"/>
    <mergeCell ref="W88:Y88"/>
    <mergeCell ref="N89:O89"/>
    <mergeCell ref="P89:S89"/>
    <mergeCell ref="T89:V89"/>
    <mergeCell ref="W89:Y89"/>
    <mergeCell ref="N90:O90"/>
    <mergeCell ref="P90:S90"/>
    <mergeCell ref="T90:V90"/>
    <mergeCell ref="W90:Y90"/>
    <mergeCell ref="N91:O91"/>
    <mergeCell ref="P91:S91"/>
    <mergeCell ref="T91:V91"/>
    <mergeCell ref="W91:Y91"/>
    <mergeCell ref="N92:O92"/>
    <mergeCell ref="P92:S92"/>
    <mergeCell ref="T92:V92"/>
    <mergeCell ref="W92:Y92"/>
    <mergeCell ref="A100:B100"/>
    <mergeCell ref="C100:F100"/>
    <mergeCell ref="G100:I100"/>
    <mergeCell ref="J100:L100"/>
    <mergeCell ref="AO103:AP103"/>
    <mergeCell ref="AQ103:AT103"/>
    <mergeCell ref="AU103:AW103"/>
    <mergeCell ref="AX103:AZ103"/>
    <mergeCell ref="AO104:AP104"/>
    <mergeCell ref="AQ104:AT104"/>
    <mergeCell ref="AU104:AW104"/>
    <mergeCell ref="AX104:AZ104"/>
    <mergeCell ref="AO105:AP105"/>
    <mergeCell ref="AQ105:AT105"/>
    <mergeCell ref="AU105:AW105"/>
    <mergeCell ref="AX105:AZ105"/>
    <mergeCell ref="AO106:AP106"/>
    <mergeCell ref="AQ106:AT106"/>
    <mergeCell ref="AU106:AW106"/>
    <mergeCell ref="AX106:AZ106"/>
    <mergeCell ref="AO107:AP107"/>
    <mergeCell ref="AQ107:AT107"/>
    <mergeCell ref="AU107:AW107"/>
    <mergeCell ref="AX107:AZ107"/>
    <mergeCell ref="AO121:AP121"/>
    <mergeCell ref="AQ121:AT121"/>
    <mergeCell ref="AU121:AW121"/>
    <mergeCell ref="AX121:AZ121"/>
    <mergeCell ref="AO122:AP122"/>
    <mergeCell ref="AQ122:AT122"/>
    <mergeCell ref="AU122:AW122"/>
    <mergeCell ref="AX122:AZ122"/>
    <mergeCell ref="AO123:AP123"/>
    <mergeCell ref="AQ123:AT123"/>
    <mergeCell ref="AU123:AW123"/>
    <mergeCell ref="AX123:AZ123"/>
    <mergeCell ref="AO124:AP124"/>
    <mergeCell ref="AQ124:AT124"/>
    <mergeCell ref="AU124:AW124"/>
    <mergeCell ref="AX124:AZ124"/>
    <mergeCell ref="AO125:AP125"/>
    <mergeCell ref="AQ125:AT125"/>
    <mergeCell ref="AU125:AW125"/>
    <mergeCell ref="AX125:AZ125"/>
    <mergeCell ref="A1:A4"/>
    <mergeCell ref="A13:A14"/>
    <mergeCell ref="B13:B14"/>
    <mergeCell ref="C13:C14"/>
    <mergeCell ref="D13:D14"/>
    <mergeCell ref="E13:E14"/>
    <mergeCell ref="F13:F14"/>
    <mergeCell ref="G13:G14"/>
    <mergeCell ref="K13:K14"/>
    <mergeCell ref="L13:L14"/>
    <mergeCell ref="N1:N4"/>
    <mergeCell ref="N13:N14"/>
    <mergeCell ref="O13:O14"/>
    <mergeCell ref="P13:P14"/>
    <mergeCell ref="Q13:Q14"/>
    <mergeCell ref="R13:R14"/>
    <mergeCell ref="S13:S14"/>
    <mergeCell ref="T13:T14"/>
    <mergeCell ref="X13:X14"/>
    <mergeCell ref="Y13:Y14"/>
    <mergeCell ref="AB1:AB4"/>
    <mergeCell ref="AB13:AB14"/>
    <mergeCell ref="AC13:AC14"/>
    <mergeCell ref="AD13:AD14"/>
    <mergeCell ref="AE13:AE14"/>
    <mergeCell ref="AF13:AF14"/>
    <mergeCell ref="AG13:AG14"/>
    <mergeCell ref="AH13:AH14"/>
    <mergeCell ref="AL13:AL14"/>
    <mergeCell ref="BM13:BM14"/>
    <mergeCell ref="O1:V4"/>
    <mergeCell ref="BC1:BJ4"/>
    <mergeCell ref="B1:I4"/>
    <mergeCell ref="AP1:AW4"/>
    <mergeCell ref="AC1:AJ4"/>
    <mergeCell ref="BB1:BB4"/>
    <mergeCell ref="BB13:BB14"/>
    <mergeCell ref="BC13:BC14"/>
    <mergeCell ref="BD13:BD14"/>
    <mergeCell ref="BE13:BE14"/>
    <mergeCell ref="BF13:BF14"/>
    <mergeCell ref="BG13:BG14"/>
    <mergeCell ref="BH13:BH14"/>
    <mergeCell ref="BL13:BL14"/>
    <mergeCell ref="AO1:AO4"/>
    <mergeCell ref="AO13:AO14"/>
    <mergeCell ref="AP13:AP14"/>
    <mergeCell ref="AQ13:AQ14"/>
    <mergeCell ref="AR13:AR14"/>
    <mergeCell ref="AS13:AS14"/>
    <mergeCell ref="AT13:AT14"/>
    <mergeCell ref="AU13:AU14"/>
    <mergeCell ref="AY13:AY14"/>
  </mergeCells>
  <pageMargins left="0.70866141732283505" right="0.70866141732283505" top="0.74803149606299202" bottom="0.74803149606299202" header="0.31496062992126" footer="0.31496062992126"/>
  <pageSetup scale="10" orientation="portrait"/>
  <rowBreaks count="1" manualBreakCount="1">
    <brk id="89" max="51" man="1"/>
  </rowBreaks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95"/>
  <sheetViews>
    <sheetView topLeftCell="D47" zoomScale="70" zoomScaleNormal="70" workbookViewId="0">
      <selection activeCell="A87" sqref="A87:L91"/>
    </sheetView>
  </sheetViews>
  <sheetFormatPr defaultColWidth="9" defaultRowHeight="15"/>
  <cols>
    <col min="2" max="2" width="15.42578125" customWidth="1"/>
    <col min="7" max="7" width="21.5703125" customWidth="1"/>
    <col min="8" max="9" width="18.5703125" customWidth="1"/>
    <col min="10" max="10" width="10.7109375" customWidth="1"/>
    <col min="11" max="11" width="13.140625" customWidth="1"/>
    <col min="12" max="12" width="17.140625" customWidth="1"/>
    <col min="13" max="13" width="5.7109375" customWidth="1"/>
    <col min="14" max="14" width="10.85546875" customWidth="1"/>
    <col min="20" max="20" width="19.140625" customWidth="1"/>
    <col min="21" max="21" width="11.5703125" customWidth="1"/>
    <col min="23" max="23" width="10.42578125" customWidth="1"/>
    <col min="24" max="24" width="10.5703125" customWidth="1"/>
    <col min="25" max="25" width="17.5703125" customWidth="1"/>
    <col min="27" max="27" width="11.5703125" customWidth="1"/>
    <col min="33" max="33" width="17.140625" customWidth="1"/>
    <col min="37" max="37" width="11.85546875" customWidth="1"/>
  </cols>
  <sheetData>
    <row r="1" spans="1:38">
      <c r="A1" s="206"/>
      <c r="B1" s="211" t="s">
        <v>44</v>
      </c>
      <c r="C1" s="212"/>
      <c r="D1" s="212"/>
      <c r="E1" s="212"/>
      <c r="F1" s="212"/>
      <c r="G1" s="212"/>
      <c r="H1" s="212"/>
      <c r="I1" s="212"/>
      <c r="J1" s="20"/>
      <c r="K1" s="20"/>
      <c r="L1" s="21"/>
      <c r="N1" s="206"/>
      <c r="O1" s="211" t="s">
        <v>44</v>
      </c>
      <c r="P1" s="212"/>
      <c r="Q1" s="212"/>
      <c r="R1" s="212"/>
      <c r="S1" s="212"/>
      <c r="T1" s="212"/>
      <c r="U1" s="212"/>
      <c r="V1" s="212"/>
      <c r="W1" s="20"/>
      <c r="X1" s="20"/>
      <c r="Y1" s="21"/>
    </row>
    <row r="2" spans="1:38">
      <c r="A2" s="207"/>
      <c r="B2" s="214"/>
      <c r="C2" s="215"/>
      <c r="D2" s="215"/>
      <c r="E2" s="215"/>
      <c r="F2" s="215"/>
      <c r="G2" s="215"/>
      <c r="H2" s="215"/>
      <c r="I2" s="215"/>
      <c r="L2" s="22"/>
      <c r="N2" s="207"/>
      <c r="O2" s="214"/>
      <c r="P2" s="215"/>
      <c r="Q2" s="215"/>
      <c r="R2" s="215"/>
      <c r="S2" s="215"/>
      <c r="T2" s="215"/>
      <c r="U2" s="215"/>
      <c r="V2" s="215"/>
      <c r="Y2" s="22"/>
    </row>
    <row r="3" spans="1:38">
      <c r="A3" s="207"/>
      <c r="B3" s="214"/>
      <c r="C3" s="215"/>
      <c r="D3" s="215"/>
      <c r="E3" s="215"/>
      <c r="F3" s="215"/>
      <c r="G3" s="215"/>
      <c r="H3" s="215"/>
      <c r="I3" s="215"/>
      <c r="L3" s="22"/>
      <c r="N3" s="207"/>
      <c r="O3" s="214"/>
      <c r="P3" s="215"/>
      <c r="Q3" s="215"/>
      <c r="R3" s="215"/>
      <c r="S3" s="215"/>
      <c r="T3" s="215"/>
      <c r="U3" s="215"/>
      <c r="V3" s="215"/>
      <c r="Y3" s="22"/>
    </row>
    <row r="4" spans="1:38" ht="18" customHeight="1">
      <c r="A4" s="207"/>
      <c r="B4" s="289"/>
      <c r="C4" s="290"/>
      <c r="D4" s="290"/>
      <c r="E4" s="290"/>
      <c r="F4" s="290"/>
      <c r="G4" s="290"/>
      <c r="H4" s="290"/>
      <c r="I4" s="290"/>
      <c r="L4" s="22"/>
      <c r="N4" s="207"/>
      <c r="O4" s="289"/>
      <c r="P4" s="290"/>
      <c r="Q4" s="290"/>
      <c r="R4" s="290"/>
      <c r="S4" s="290"/>
      <c r="T4" s="290"/>
      <c r="U4" s="290"/>
      <c r="V4" s="290"/>
      <c r="Y4" s="22"/>
      <c r="AA4" s="206"/>
      <c r="AB4" s="211" t="s">
        <v>44</v>
      </c>
      <c r="AC4" s="212"/>
      <c r="AD4" s="212"/>
      <c r="AE4" s="212"/>
      <c r="AF4" s="212"/>
      <c r="AG4" s="212"/>
      <c r="AH4" s="212"/>
      <c r="AI4" s="212"/>
      <c r="AJ4" s="20"/>
      <c r="AK4" s="20"/>
      <c r="AL4" s="21"/>
    </row>
    <row r="5" spans="1:38" ht="16.5">
      <c r="A5" s="223" t="s">
        <v>45</v>
      </c>
      <c r="B5" s="224"/>
      <c r="C5" s="7" t="s">
        <v>46</v>
      </c>
      <c r="D5" s="8"/>
      <c r="E5" s="8"/>
      <c r="F5" s="8"/>
      <c r="G5" s="8"/>
      <c r="H5" s="8"/>
      <c r="I5" s="8"/>
      <c r="J5" s="8"/>
      <c r="K5" s="8"/>
      <c r="L5" s="23"/>
      <c r="N5" s="223" t="s">
        <v>45</v>
      </c>
      <c r="O5" s="224"/>
      <c r="P5" s="7" t="s">
        <v>46</v>
      </c>
      <c r="Q5" s="8"/>
      <c r="R5" s="8"/>
      <c r="S5" s="8"/>
      <c r="T5" s="8"/>
      <c r="U5" s="8"/>
      <c r="V5" s="8"/>
      <c r="W5" s="8"/>
      <c r="X5" s="8"/>
      <c r="Y5" s="23"/>
      <c r="AA5" s="207"/>
      <c r="AB5" s="214"/>
      <c r="AC5" s="215"/>
      <c r="AD5" s="215"/>
      <c r="AE5" s="215"/>
      <c r="AF5" s="215"/>
      <c r="AG5" s="215"/>
      <c r="AH5" s="215"/>
      <c r="AI5" s="215"/>
      <c r="AL5" s="22"/>
    </row>
    <row r="6" spans="1:38" ht="16.5">
      <c r="A6" s="223" t="s">
        <v>48</v>
      </c>
      <c r="B6" s="224"/>
      <c r="C6" s="7" t="s">
        <v>49</v>
      </c>
      <c r="D6" s="8"/>
      <c r="E6" s="8"/>
      <c r="F6" s="8"/>
      <c r="G6" s="8"/>
      <c r="H6" s="8"/>
      <c r="I6" s="8"/>
      <c r="J6" s="8"/>
      <c r="K6" s="8"/>
      <c r="L6" s="23"/>
      <c r="N6" s="223" t="s">
        <v>48</v>
      </c>
      <c r="O6" s="224"/>
      <c r="P6" s="7" t="s">
        <v>49</v>
      </c>
      <c r="Q6" s="8"/>
      <c r="R6" s="8"/>
      <c r="S6" s="8"/>
      <c r="T6" s="8"/>
      <c r="U6" s="8"/>
      <c r="V6" s="8"/>
      <c r="W6" s="8"/>
      <c r="X6" s="8"/>
      <c r="Y6" s="23"/>
      <c r="AA6" s="207"/>
      <c r="AB6" s="214"/>
      <c r="AC6" s="215"/>
      <c r="AD6" s="215"/>
      <c r="AE6" s="215"/>
      <c r="AF6" s="215"/>
      <c r="AG6" s="215"/>
      <c r="AH6" s="215"/>
      <c r="AI6" s="215"/>
      <c r="AL6" s="22"/>
    </row>
    <row r="7" spans="1:38" ht="16.5">
      <c r="A7" s="225" t="s">
        <v>50</v>
      </c>
      <c r="B7" s="226"/>
      <c r="C7" s="7" t="s">
        <v>51</v>
      </c>
      <c r="D7" s="8"/>
      <c r="E7" s="8"/>
      <c r="F7" s="8"/>
      <c r="G7" s="8"/>
      <c r="H7" s="8"/>
      <c r="I7" s="8"/>
      <c r="J7" s="8"/>
      <c r="K7" s="8"/>
      <c r="L7" s="23"/>
      <c r="N7" s="225" t="s">
        <v>50</v>
      </c>
      <c r="O7" s="226"/>
      <c r="P7" s="7" t="s">
        <v>51</v>
      </c>
      <c r="Q7" s="8"/>
      <c r="R7" s="8"/>
      <c r="S7" s="8"/>
      <c r="T7" s="8"/>
      <c r="U7" s="8"/>
      <c r="V7" s="8"/>
      <c r="W7" s="8"/>
      <c r="X7" s="8"/>
      <c r="Y7" s="23"/>
      <c r="AA7" s="207"/>
      <c r="AB7" s="289"/>
      <c r="AC7" s="290"/>
      <c r="AD7" s="290"/>
      <c r="AE7" s="290"/>
      <c r="AF7" s="290"/>
      <c r="AG7" s="290"/>
      <c r="AH7" s="290"/>
      <c r="AI7" s="290"/>
      <c r="AL7" s="22"/>
    </row>
    <row r="8" spans="1:38" ht="16.5">
      <c r="A8" s="223" t="s">
        <v>52</v>
      </c>
      <c r="B8" s="224"/>
      <c r="C8" s="7" t="s">
        <v>53</v>
      </c>
      <c r="D8" s="8"/>
      <c r="E8" s="8"/>
      <c r="F8" s="8"/>
      <c r="G8" s="8"/>
      <c r="H8" s="8"/>
      <c r="I8" s="8"/>
      <c r="J8" s="8"/>
      <c r="K8" s="8"/>
      <c r="L8" s="23"/>
      <c r="N8" s="223" t="s">
        <v>52</v>
      </c>
      <c r="O8" s="224"/>
      <c r="P8" s="7" t="s">
        <v>53</v>
      </c>
      <c r="Q8" s="8"/>
      <c r="R8" s="8"/>
      <c r="S8" s="8"/>
      <c r="T8" s="8"/>
      <c r="U8" s="8"/>
      <c r="V8" s="8"/>
      <c r="W8" s="8"/>
      <c r="X8" s="8"/>
      <c r="Y8" s="23"/>
      <c r="AA8" s="223" t="s">
        <v>45</v>
      </c>
      <c r="AB8" s="224"/>
      <c r="AC8" s="7" t="s">
        <v>46</v>
      </c>
      <c r="AD8" s="8"/>
      <c r="AE8" s="8"/>
      <c r="AF8" s="8"/>
      <c r="AG8" s="8"/>
      <c r="AH8" s="8"/>
      <c r="AI8" s="8"/>
      <c r="AJ8" s="8"/>
      <c r="AK8" s="8"/>
      <c r="AL8" s="23"/>
    </row>
    <row r="9" spans="1:38" ht="16.5">
      <c r="A9" s="227" t="s">
        <v>812</v>
      </c>
      <c r="B9" s="228"/>
      <c r="C9" s="228"/>
      <c r="D9" s="228"/>
      <c r="E9" s="228"/>
      <c r="F9" s="228"/>
      <c r="G9" s="228"/>
      <c r="H9" s="228"/>
      <c r="I9" s="228"/>
      <c r="J9" s="228"/>
      <c r="K9" s="228"/>
      <c r="L9" s="229"/>
      <c r="N9" s="227" t="s">
        <v>812</v>
      </c>
      <c r="O9" s="228"/>
      <c r="P9" s="228"/>
      <c r="Q9" s="228"/>
      <c r="R9" s="228"/>
      <c r="S9" s="228"/>
      <c r="T9" s="228"/>
      <c r="U9" s="228"/>
      <c r="V9" s="228"/>
      <c r="W9" s="228"/>
      <c r="X9" s="228"/>
      <c r="Y9" s="229"/>
      <c r="AA9" s="223" t="s">
        <v>48</v>
      </c>
      <c r="AB9" s="224"/>
      <c r="AC9" s="7" t="s">
        <v>49</v>
      </c>
      <c r="AD9" s="8"/>
      <c r="AE9" s="8"/>
      <c r="AF9" s="8"/>
      <c r="AG9" s="8"/>
      <c r="AH9" s="8"/>
      <c r="AI9" s="8"/>
      <c r="AJ9" s="8"/>
      <c r="AK9" s="8"/>
      <c r="AL9" s="23"/>
    </row>
    <row r="10" spans="1:38" ht="16.5">
      <c r="A10" s="11" t="s">
        <v>55</v>
      </c>
      <c r="C10" s="12"/>
      <c r="D10" s="12"/>
      <c r="E10" s="12"/>
      <c r="F10" s="12"/>
      <c r="G10" s="24" t="s">
        <v>56</v>
      </c>
      <c r="H10" s="25"/>
      <c r="I10" s="12"/>
      <c r="J10" s="12"/>
      <c r="K10" s="12"/>
      <c r="L10" s="26"/>
      <c r="N10" s="11" t="s">
        <v>55</v>
      </c>
      <c r="P10" s="12"/>
      <c r="Q10" s="12"/>
      <c r="R10" s="12"/>
      <c r="S10" s="12"/>
      <c r="T10" s="24" t="s">
        <v>56</v>
      </c>
      <c r="U10" s="25"/>
      <c r="V10" s="12"/>
      <c r="W10" s="12"/>
      <c r="X10" s="12"/>
      <c r="Y10" s="26"/>
      <c r="AA10" s="225" t="s">
        <v>50</v>
      </c>
      <c r="AB10" s="226"/>
      <c r="AC10" s="7" t="s">
        <v>51</v>
      </c>
      <c r="AD10" s="8"/>
      <c r="AE10" s="8"/>
      <c r="AF10" s="8"/>
      <c r="AG10" s="8"/>
      <c r="AH10" s="8"/>
      <c r="AI10" s="8"/>
      <c r="AJ10" s="8"/>
      <c r="AK10" s="8"/>
      <c r="AL10" s="23"/>
    </row>
    <row r="11" spans="1:38" ht="16.5">
      <c r="A11" s="217"/>
      <c r="B11" s="218"/>
      <c r="C11" s="218"/>
      <c r="D11" s="218"/>
      <c r="E11" s="218"/>
      <c r="F11" s="218"/>
      <c r="G11" s="218"/>
      <c r="H11" s="218"/>
      <c r="I11" s="218"/>
      <c r="J11" s="218"/>
      <c r="K11" s="218"/>
      <c r="L11" s="219"/>
      <c r="N11" s="217"/>
      <c r="O11" s="218"/>
      <c r="P11" s="218"/>
      <c r="Q11" s="218"/>
      <c r="R11" s="218"/>
      <c r="S11" s="218"/>
      <c r="T11" s="218"/>
      <c r="U11" s="218"/>
      <c r="V11" s="218"/>
      <c r="W11" s="218"/>
      <c r="X11" s="218"/>
      <c r="Y11" s="219"/>
      <c r="AA11" s="223" t="s">
        <v>52</v>
      </c>
      <c r="AB11" s="224"/>
      <c r="AC11" s="7" t="s">
        <v>53</v>
      </c>
      <c r="AD11" s="8"/>
      <c r="AE11" s="8"/>
      <c r="AF11" s="8"/>
      <c r="AG11" s="8"/>
      <c r="AH11" s="8"/>
      <c r="AI11" s="8"/>
      <c r="AJ11" s="8"/>
      <c r="AK11" s="8"/>
      <c r="AL11" s="23"/>
    </row>
    <row r="12" spans="1:38" ht="15.75">
      <c r="A12" s="15" t="s">
        <v>103</v>
      </c>
      <c r="B12" s="355"/>
      <c r="C12" s="356"/>
      <c r="D12" s="356"/>
      <c r="E12" s="356"/>
      <c r="F12" s="357"/>
      <c r="G12" s="60" t="s">
        <v>542</v>
      </c>
      <c r="H12" s="356"/>
      <c r="I12" s="356"/>
      <c r="J12" s="356"/>
      <c r="K12" s="356"/>
      <c r="L12" s="358"/>
      <c r="N12" s="11" t="s">
        <v>103</v>
      </c>
      <c r="O12" s="71"/>
      <c r="P12" s="73"/>
      <c r="Q12" s="24"/>
      <c r="R12" s="74"/>
      <c r="S12" s="25"/>
      <c r="T12" s="24" t="s">
        <v>542</v>
      </c>
      <c r="U12" s="71"/>
      <c r="V12" s="74"/>
      <c r="W12" s="74"/>
      <c r="X12" s="74"/>
      <c r="Y12" s="80"/>
      <c r="AA12" s="227" t="s">
        <v>812</v>
      </c>
      <c r="AB12" s="228"/>
      <c r="AC12" s="228"/>
      <c r="AD12" s="228"/>
      <c r="AE12" s="228"/>
      <c r="AF12" s="228"/>
      <c r="AG12" s="228"/>
      <c r="AH12" s="228"/>
      <c r="AI12" s="228"/>
      <c r="AJ12" s="228"/>
      <c r="AK12" s="228"/>
      <c r="AL12" s="229"/>
    </row>
    <row r="13" spans="1:38" ht="15.75">
      <c r="A13" s="329" t="s">
        <v>59</v>
      </c>
      <c r="B13" s="209" t="s">
        <v>60</v>
      </c>
      <c r="C13" s="209" t="s">
        <v>659</v>
      </c>
      <c r="D13" s="209" t="s">
        <v>62</v>
      </c>
      <c r="E13" s="209" t="s">
        <v>63</v>
      </c>
      <c r="F13" s="209" t="s">
        <v>64</v>
      </c>
      <c r="G13" s="209" t="s">
        <v>65</v>
      </c>
      <c r="H13" s="342" t="s">
        <v>66</v>
      </c>
      <c r="I13" s="343"/>
      <c r="J13" s="344"/>
      <c r="K13" s="209" t="s">
        <v>30</v>
      </c>
      <c r="L13" s="328" t="s">
        <v>67</v>
      </c>
      <c r="N13" s="329" t="s">
        <v>59</v>
      </c>
      <c r="O13" s="209" t="s">
        <v>60</v>
      </c>
      <c r="P13" s="209" t="s">
        <v>659</v>
      </c>
      <c r="Q13" s="209" t="s">
        <v>62</v>
      </c>
      <c r="R13" s="209" t="s">
        <v>63</v>
      </c>
      <c r="S13" s="209" t="s">
        <v>64</v>
      </c>
      <c r="T13" s="209" t="s">
        <v>65</v>
      </c>
      <c r="U13" s="342" t="s">
        <v>66</v>
      </c>
      <c r="V13" s="343"/>
      <c r="W13" s="344"/>
      <c r="X13" s="209" t="s">
        <v>30</v>
      </c>
      <c r="Y13" s="328" t="s">
        <v>67</v>
      </c>
      <c r="AA13" s="11" t="s">
        <v>55</v>
      </c>
      <c r="AC13" s="12"/>
      <c r="AD13" s="12"/>
      <c r="AE13" s="12"/>
      <c r="AF13" s="12"/>
      <c r="AG13" s="24" t="s">
        <v>56</v>
      </c>
      <c r="AH13" s="25"/>
      <c r="AI13" s="12"/>
      <c r="AJ13" s="12"/>
      <c r="AK13" s="12"/>
      <c r="AL13" s="26"/>
    </row>
    <row r="14" spans="1:38" ht="60">
      <c r="A14" s="329"/>
      <c r="B14" s="209"/>
      <c r="C14" s="209"/>
      <c r="D14" s="209"/>
      <c r="E14" s="209"/>
      <c r="F14" s="209"/>
      <c r="G14" s="209"/>
      <c r="H14" s="16" t="s">
        <v>68</v>
      </c>
      <c r="I14" s="62" t="s">
        <v>69</v>
      </c>
      <c r="J14" s="16" t="s">
        <v>70</v>
      </c>
      <c r="K14" s="209"/>
      <c r="L14" s="328"/>
      <c r="N14" s="329"/>
      <c r="O14" s="209"/>
      <c r="P14" s="209"/>
      <c r="Q14" s="209"/>
      <c r="R14" s="209"/>
      <c r="S14" s="209"/>
      <c r="T14" s="209"/>
      <c r="U14" s="16" t="s">
        <v>68</v>
      </c>
      <c r="V14" s="62" t="s">
        <v>69</v>
      </c>
      <c r="W14" s="16" t="s">
        <v>70</v>
      </c>
      <c r="X14" s="209"/>
      <c r="Y14" s="328"/>
      <c r="AA14" s="217"/>
      <c r="AB14" s="218"/>
      <c r="AC14" s="218"/>
      <c r="AD14" s="218"/>
      <c r="AE14" s="218"/>
      <c r="AF14" s="218"/>
      <c r="AG14" s="218"/>
      <c r="AH14" s="218"/>
      <c r="AI14" s="218"/>
      <c r="AJ14" s="218"/>
      <c r="AK14" s="218"/>
      <c r="AL14" s="219"/>
    </row>
    <row r="15" spans="1:38" ht="15.75">
      <c r="A15" s="29">
        <v>1</v>
      </c>
      <c r="B15" s="29" t="s">
        <v>71</v>
      </c>
      <c r="C15" s="29">
        <v>90</v>
      </c>
      <c r="D15" s="63" t="s">
        <v>813</v>
      </c>
      <c r="E15" s="63" t="s">
        <v>814</v>
      </c>
      <c r="F15" s="29">
        <v>8.3000000000000007</v>
      </c>
      <c r="G15" s="29" t="s">
        <v>106</v>
      </c>
      <c r="H15" s="29">
        <v>3.3</v>
      </c>
      <c r="I15" s="29">
        <v>1</v>
      </c>
      <c r="J15" s="29">
        <v>4.3</v>
      </c>
      <c r="K15" s="29" t="s">
        <v>114</v>
      </c>
      <c r="L15" s="61"/>
      <c r="N15" s="29">
        <v>1</v>
      </c>
      <c r="O15" s="29" t="s">
        <v>71</v>
      </c>
      <c r="P15" s="33">
        <v>63</v>
      </c>
      <c r="Q15" s="65" t="s">
        <v>815</v>
      </c>
      <c r="R15" s="65" t="s">
        <v>767</v>
      </c>
      <c r="S15" s="29">
        <v>41.1</v>
      </c>
      <c r="T15" s="29" t="s">
        <v>106</v>
      </c>
      <c r="U15" s="29">
        <v>3.5</v>
      </c>
      <c r="V15" s="29">
        <v>1</v>
      </c>
      <c r="W15" s="29">
        <v>4.5</v>
      </c>
      <c r="X15" s="29" t="s">
        <v>114</v>
      </c>
      <c r="Y15" s="29"/>
      <c r="AA15" s="15" t="s">
        <v>103</v>
      </c>
      <c r="AB15" s="355"/>
      <c r="AC15" s="356"/>
      <c r="AD15" s="356"/>
      <c r="AE15" s="356"/>
      <c r="AF15" s="357"/>
      <c r="AG15" s="60" t="s">
        <v>542</v>
      </c>
      <c r="AH15" s="356"/>
      <c r="AI15" s="356"/>
      <c r="AJ15" s="356"/>
      <c r="AK15" s="356"/>
      <c r="AL15" s="358"/>
    </row>
    <row r="16" spans="1:38">
      <c r="A16" s="33">
        <f>1+A15</f>
        <v>2</v>
      </c>
      <c r="B16" s="29" t="s">
        <v>71</v>
      </c>
      <c r="C16" s="29">
        <v>90</v>
      </c>
      <c r="D16" s="63" t="s">
        <v>814</v>
      </c>
      <c r="E16" s="63" t="s">
        <v>816</v>
      </c>
      <c r="F16" s="29">
        <v>126.2</v>
      </c>
      <c r="G16" s="29" t="s">
        <v>106</v>
      </c>
      <c r="H16" s="29">
        <v>3.3</v>
      </c>
      <c r="I16" s="29">
        <v>1</v>
      </c>
      <c r="J16" s="29">
        <v>4.3</v>
      </c>
      <c r="K16" s="29" t="s">
        <v>114</v>
      </c>
      <c r="L16" s="61"/>
      <c r="N16" s="29">
        <f>1+N15</f>
        <v>2</v>
      </c>
      <c r="O16" s="29" t="s">
        <v>71</v>
      </c>
      <c r="P16" s="33">
        <v>110</v>
      </c>
      <c r="Q16" s="75" t="s">
        <v>817</v>
      </c>
      <c r="R16" s="75" t="s">
        <v>815</v>
      </c>
      <c r="S16" s="29">
        <v>79.2</v>
      </c>
      <c r="T16" s="29" t="s">
        <v>106</v>
      </c>
      <c r="U16" s="29">
        <v>3.5</v>
      </c>
      <c r="V16" s="29">
        <v>1</v>
      </c>
      <c r="W16" s="29">
        <v>4.5</v>
      </c>
      <c r="X16" s="29" t="s">
        <v>114</v>
      </c>
      <c r="Y16" s="29"/>
      <c r="AA16" s="329" t="s">
        <v>59</v>
      </c>
      <c r="AB16" s="209" t="s">
        <v>60</v>
      </c>
      <c r="AC16" s="209" t="s">
        <v>659</v>
      </c>
      <c r="AD16" s="209" t="s">
        <v>62</v>
      </c>
      <c r="AE16" s="209" t="s">
        <v>63</v>
      </c>
      <c r="AF16" s="209" t="s">
        <v>64</v>
      </c>
      <c r="AG16" s="209" t="s">
        <v>65</v>
      </c>
      <c r="AH16" s="342" t="s">
        <v>66</v>
      </c>
      <c r="AI16" s="343"/>
      <c r="AJ16" s="344"/>
      <c r="AK16" s="209" t="s">
        <v>30</v>
      </c>
      <c r="AL16" s="328" t="s">
        <v>67</v>
      </c>
    </row>
    <row r="17" spans="1:38" ht="16.5" customHeight="1">
      <c r="A17" s="33">
        <f t="shared" ref="A17:A43" si="0">1+A16</f>
        <v>3</v>
      </c>
      <c r="B17" s="29" t="s">
        <v>71</v>
      </c>
      <c r="C17" s="29">
        <v>90</v>
      </c>
      <c r="D17" s="63" t="s">
        <v>816</v>
      </c>
      <c r="E17" s="63" t="s">
        <v>818</v>
      </c>
      <c r="F17" s="29">
        <v>78.099999999999994</v>
      </c>
      <c r="G17" s="29" t="s">
        <v>106</v>
      </c>
      <c r="H17" s="29">
        <v>3.3</v>
      </c>
      <c r="I17" s="29">
        <v>1</v>
      </c>
      <c r="J17" s="29">
        <v>4.3</v>
      </c>
      <c r="K17" s="29" t="s">
        <v>114</v>
      </c>
      <c r="L17" s="61"/>
      <c r="N17" s="29">
        <f t="shared" ref="N17:N50" si="1">1+N16</f>
        <v>3</v>
      </c>
      <c r="O17" s="29" t="s">
        <v>71</v>
      </c>
      <c r="P17" s="33">
        <v>110</v>
      </c>
      <c r="Q17" s="75" t="s">
        <v>815</v>
      </c>
      <c r="R17" s="75" t="s">
        <v>819</v>
      </c>
      <c r="S17" s="29">
        <v>50.3</v>
      </c>
      <c r="T17" s="29" t="s">
        <v>106</v>
      </c>
      <c r="U17" s="29">
        <v>3.5</v>
      </c>
      <c r="V17" s="29">
        <v>1</v>
      </c>
      <c r="W17" s="29">
        <v>4.5</v>
      </c>
      <c r="X17" s="29" t="s">
        <v>114</v>
      </c>
      <c r="Y17" s="29"/>
      <c r="AA17" s="329"/>
      <c r="AB17" s="209"/>
      <c r="AC17" s="209"/>
      <c r="AD17" s="209"/>
      <c r="AE17" s="209"/>
      <c r="AF17" s="209"/>
      <c r="AG17" s="209"/>
      <c r="AH17" s="16" t="s">
        <v>68</v>
      </c>
      <c r="AI17" s="62" t="s">
        <v>69</v>
      </c>
      <c r="AJ17" s="16" t="s">
        <v>70</v>
      </c>
      <c r="AK17" s="209"/>
      <c r="AL17" s="328"/>
    </row>
    <row r="18" spans="1:38">
      <c r="A18" s="33">
        <f t="shared" si="0"/>
        <v>4</v>
      </c>
      <c r="B18" s="29" t="s">
        <v>71</v>
      </c>
      <c r="C18" s="29">
        <v>75</v>
      </c>
      <c r="D18" s="64" t="s">
        <v>820</v>
      </c>
      <c r="E18" s="64" t="s">
        <v>800</v>
      </c>
      <c r="F18" s="29">
        <v>87.2</v>
      </c>
      <c r="G18" s="29" t="s">
        <v>106</v>
      </c>
      <c r="H18" s="29">
        <v>3.3</v>
      </c>
      <c r="I18" s="29">
        <v>1</v>
      </c>
      <c r="J18" s="29">
        <v>4.3</v>
      </c>
      <c r="K18" s="29" t="s">
        <v>114</v>
      </c>
      <c r="L18" s="61"/>
      <c r="N18" s="29">
        <f t="shared" si="1"/>
        <v>4</v>
      </c>
      <c r="O18" s="29" t="s">
        <v>71</v>
      </c>
      <c r="P18" s="33">
        <v>75</v>
      </c>
      <c r="Q18" s="64" t="s">
        <v>819</v>
      </c>
      <c r="R18" s="64" t="s">
        <v>821</v>
      </c>
      <c r="S18" s="29">
        <v>58.2</v>
      </c>
      <c r="T18" s="29" t="s">
        <v>106</v>
      </c>
      <c r="U18" s="29">
        <v>3.5</v>
      </c>
      <c r="V18" s="29">
        <v>1</v>
      </c>
      <c r="W18" s="29">
        <v>4.5</v>
      </c>
      <c r="X18" s="29" t="s">
        <v>114</v>
      </c>
      <c r="Y18" s="29"/>
      <c r="AA18" s="33">
        <v>1</v>
      </c>
      <c r="AB18" s="29" t="s">
        <v>71</v>
      </c>
      <c r="AC18" s="29">
        <v>110</v>
      </c>
      <c r="AD18" s="29" t="s">
        <v>822</v>
      </c>
      <c r="AE18" s="29" t="s">
        <v>823</v>
      </c>
      <c r="AF18" s="29">
        <v>195.1</v>
      </c>
      <c r="AG18" s="29" t="s">
        <v>276</v>
      </c>
      <c r="AH18" s="29">
        <v>3.2</v>
      </c>
      <c r="AI18" s="29">
        <v>1</v>
      </c>
      <c r="AJ18" s="29">
        <v>4.2</v>
      </c>
      <c r="AK18" s="29" t="s">
        <v>114</v>
      </c>
      <c r="AL18" s="61"/>
    </row>
    <row r="19" spans="1:38">
      <c r="A19" s="33">
        <f t="shared" si="0"/>
        <v>5</v>
      </c>
      <c r="B19" s="29" t="s">
        <v>71</v>
      </c>
      <c r="C19" s="29">
        <v>63</v>
      </c>
      <c r="D19" s="65" t="s">
        <v>800</v>
      </c>
      <c r="E19" s="65" t="s">
        <v>660</v>
      </c>
      <c r="F19" s="29">
        <v>83.6</v>
      </c>
      <c r="G19" s="29" t="s">
        <v>106</v>
      </c>
      <c r="H19" s="29">
        <v>3.3</v>
      </c>
      <c r="I19" s="29">
        <v>1</v>
      </c>
      <c r="J19" s="29">
        <v>4.3</v>
      </c>
      <c r="K19" s="29" t="s">
        <v>114</v>
      </c>
      <c r="L19" s="61"/>
      <c r="N19" s="29">
        <f t="shared" si="1"/>
        <v>5</v>
      </c>
      <c r="O19" s="29" t="s">
        <v>71</v>
      </c>
      <c r="P19" s="33">
        <v>63</v>
      </c>
      <c r="Q19" s="29" t="s">
        <v>821</v>
      </c>
      <c r="R19" s="29" t="s">
        <v>824</v>
      </c>
      <c r="S19" s="29">
        <v>13.9</v>
      </c>
      <c r="T19" s="29" t="s">
        <v>106</v>
      </c>
      <c r="U19" s="29">
        <v>3.5</v>
      </c>
      <c r="V19" s="29">
        <v>1</v>
      </c>
      <c r="W19" s="29">
        <v>4.5</v>
      </c>
      <c r="X19" s="29" t="s">
        <v>114</v>
      </c>
      <c r="Y19" s="29"/>
      <c r="AA19" s="29">
        <f>1+AA18</f>
        <v>2</v>
      </c>
      <c r="AB19" s="29" t="s">
        <v>71</v>
      </c>
      <c r="AC19" s="29">
        <v>90</v>
      </c>
      <c r="AD19" s="63" t="s">
        <v>823</v>
      </c>
      <c r="AE19" s="63" t="s">
        <v>743</v>
      </c>
      <c r="AF19" s="29">
        <v>36.4</v>
      </c>
      <c r="AG19" s="29" t="s">
        <v>276</v>
      </c>
      <c r="AH19" s="29">
        <v>3.2</v>
      </c>
      <c r="AI19" s="29">
        <v>1</v>
      </c>
      <c r="AJ19" s="29">
        <v>4.2</v>
      </c>
      <c r="AK19" s="29" t="s">
        <v>114</v>
      </c>
      <c r="AL19" s="61"/>
    </row>
    <row r="20" spans="1:38">
      <c r="A20" s="33">
        <f t="shared" si="0"/>
        <v>6</v>
      </c>
      <c r="B20" s="29" t="s">
        <v>71</v>
      </c>
      <c r="C20" s="29">
        <v>90</v>
      </c>
      <c r="D20" s="63" t="s">
        <v>816</v>
      </c>
      <c r="E20" s="63" t="s">
        <v>825</v>
      </c>
      <c r="F20" s="29">
        <v>26.2</v>
      </c>
      <c r="G20" s="29" t="s">
        <v>106</v>
      </c>
      <c r="H20" s="29">
        <v>3.3</v>
      </c>
      <c r="I20" s="29">
        <v>1</v>
      </c>
      <c r="J20" s="29">
        <v>4.3</v>
      </c>
      <c r="K20" s="29" t="s">
        <v>114</v>
      </c>
      <c r="L20" s="61"/>
      <c r="N20" s="29">
        <f t="shared" si="1"/>
        <v>6</v>
      </c>
      <c r="O20" s="29" t="s">
        <v>71</v>
      </c>
      <c r="P20" s="33">
        <v>75</v>
      </c>
      <c r="Q20" s="64" t="s">
        <v>821</v>
      </c>
      <c r="R20" s="64" t="s">
        <v>826</v>
      </c>
      <c r="S20" s="29">
        <v>43.8</v>
      </c>
      <c r="T20" s="29" t="s">
        <v>106</v>
      </c>
      <c r="U20" s="29">
        <v>3.5</v>
      </c>
      <c r="V20" s="29">
        <v>1</v>
      </c>
      <c r="W20" s="29">
        <v>4.5</v>
      </c>
      <c r="X20" s="29" t="s">
        <v>114</v>
      </c>
      <c r="Y20" s="29"/>
      <c r="AA20" s="29">
        <f t="shared" ref="AA20:AA55" si="2">1+AA19</f>
        <v>3</v>
      </c>
      <c r="AB20" s="29" t="s">
        <v>71</v>
      </c>
      <c r="AC20" s="29">
        <v>63</v>
      </c>
      <c r="AD20" s="29" t="s">
        <v>743</v>
      </c>
      <c r="AE20" s="29" t="s">
        <v>827</v>
      </c>
      <c r="AF20" s="29">
        <v>26.6</v>
      </c>
      <c r="AG20" s="29" t="s">
        <v>276</v>
      </c>
      <c r="AH20" s="29">
        <v>3.2</v>
      </c>
      <c r="AI20" s="29">
        <v>1</v>
      </c>
      <c r="AJ20" s="29">
        <v>4.2</v>
      </c>
      <c r="AK20" s="29" t="s">
        <v>114</v>
      </c>
      <c r="AL20" s="61"/>
    </row>
    <row r="21" spans="1:38">
      <c r="A21" s="33">
        <f t="shared" si="0"/>
        <v>7</v>
      </c>
      <c r="B21" s="29" t="s">
        <v>71</v>
      </c>
      <c r="C21" s="29">
        <v>90</v>
      </c>
      <c r="D21" s="63" t="s">
        <v>825</v>
      </c>
      <c r="E21" s="63" t="s">
        <v>828</v>
      </c>
      <c r="F21" s="29">
        <v>59.7</v>
      </c>
      <c r="G21" s="29" t="s">
        <v>106</v>
      </c>
      <c r="H21" s="29">
        <v>3.3</v>
      </c>
      <c r="I21" s="29">
        <v>1</v>
      </c>
      <c r="J21" s="29">
        <v>4.3</v>
      </c>
      <c r="K21" s="29" t="s">
        <v>114</v>
      </c>
      <c r="L21" s="61"/>
      <c r="N21" s="29">
        <f t="shared" si="1"/>
        <v>7</v>
      </c>
      <c r="O21" s="29" t="s">
        <v>71</v>
      </c>
      <c r="P21" s="33">
        <v>63</v>
      </c>
      <c r="Q21" s="65" t="s">
        <v>826</v>
      </c>
      <c r="R21" s="65" t="s">
        <v>829</v>
      </c>
      <c r="S21" s="29">
        <v>142.1</v>
      </c>
      <c r="T21" s="29" t="s">
        <v>106</v>
      </c>
      <c r="U21" s="29">
        <v>3.5</v>
      </c>
      <c r="V21" s="29">
        <v>1</v>
      </c>
      <c r="W21" s="29">
        <v>4.5</v>
      </c>
      <c r="X21" s="29" t="s">
        <v>114</v>
      </c>
      <c r="Y21" s="29"/>
      <c r="AA21" s="29">
        <f t="shared" si="2"/>
        <v>4</v>
      </c>
      <c r="AB21" s="29" t="s">
        <v>71</v>
      </c>
      <c r="AC21" s="29">
        <v>90</v>
      </c>
      <c r="AD21" s="63" t="s">
        <v>743</v>
      </c>
      <c r="AE21" s="63" t="s">
        <v>830</v>
      </c>
      <c r="AF21" s="29">
        <v>46.3</v>
      </c>
      <c r="AG21" s="29" t="s">
        <v>276</v>
      </c>
      <c r="AH21" s="29">
        <v>3.2</v>
      </c>
      <c r="AI21" s="29">
        <v>1</v>
      </c>
      <c r="AJ21" s="29">
        <v>4.2</v>
      </c>
      <c r="AK21" s="29" t="s">
        <v>114</v>
      </c>
      <c r="AL21" s="61"/>
    </row>
    <row r="22" spans="1:38">
      <c r="A22" s="33">
        <f t="shared" si="0"/>
        <v>8</v>
      </c>
      <c r="B22" s="29" t="s">
        <v>71</v>
      </c>
      <c r="C22" s="29">
        <v>90</v>
      </c>
      <c r="D22" s="63" t="s">
        <v>828</v>
      </c>
      <c r="E22" s="63" t="s">
        <v>831</v>
      </c>
      <c r="F22" s="29">
        <v>22.2</v>
      </c>
      <c r="G22" s="29" t="s">
        <v>106</v>
      </c>
      <c r="H22" s="29">
        <v>3.3</v>
      </c>
      <c r="I22" s="29">
        <v>1</v>
      </c>
      <c r="J22" s="29">
        <v>4.3</v>
      </c>
      <c r="K22" s="29" t="s">
        <v>114</v>
      </c>
      <c r="L22" s="61"/>
      <c r="N22" s="29">
        <f t="shared" si="1"/>
        <v>8</v>
      </c>
      <c r="O22" s="29" t="s">
        <v>71</v>
      </c>
      <c r="P22" s="33">
        <v>75</v>
      </c>
      <c r="Q22" s="64" t="s">
        <v>826</v>
      </c>
      <c r="R22" s="64" t="s">
        <v>832</v>
      </c>
      <c r="S22" s="29">
        <v>127.6</v>
      </c>
      <c r="T22" s="29" t="s">
        <v>106</v>
      </c>
      <c r="U22" s="29">
        <v>3.5</v>
      </c>
      <c r="V22" s="29">
        <v>1</v>
      </c>
      <c r="W22" s="29">
        <v>4.5</v>
      </c>
      <c r="X22" s="29" t="s">
        <v>114</v>
      </c>
      <c r="Y22" s="29"/>
      <c r="AA22" s="29">
        <f t="shared" si="2"/>
        <v>5</v>
      </c>
      <c r="AB22" s="29" t="s">
        <v>71</v>
      </c>
      <c r="AC22" s="29">
        <v>90</v>
      </c>
      <c r="AD22" s="63" t="s">
        <v>833</v>
      </c>
      <c r="AE22" s="63" t="s">
        <v>830</v>
      </c>
      <c r="AF22" s="29">
        <v>46.6</v>
      </c>
      <c r="AG22" s="29" t="s">
        <v>276</v>
      </c>
      <c r="AH22" s="29">
        <v>3.2</v>
      </c>
      <c r="AI22" s="29">
        <v>1</v>
      </c>
      <c r="AJ22" s="29">
        <v>4.2</v>
      </c>
      <c r="AK22" s="29" t="s">
        <v>114</v>
      </c>
      <c r="AL22" s="61"/>
    </row>
    <row r="23" spans="1:38">
      <c r="A23" s="33">
        <f t="shared" si="0"/>
        <v>9</v>
      </c>
      <c r="B23" s="29" t="s">
        <v>71</v>
      </c>
      <c r="C23" s="29">
        <v>90</v>
      </c>
      <c r="D23" s="63" t="s">
        <v>831</v>
      </c>
      <c r="E23" s="63" t="s">
        <v>834</v>
      </c>
      <c r="F23" s="29">
        <v>16.8</v>
      </c>
      <c r="G23" s="29" t="s">
        <v>106</v>
      </c>
      <c r="H23" s="29">
        <v>3.3</v>
      </c>
      <c r="I23" s="29">
        <v>1</v>
      </c>
      <c r="J23" s="29">
        <v>4.3</v>
      </c>
      <c r="K23" s="29" t="s">
        <v>114</v>
      </c>
      <c r="L23" s="61"/>
      <c r="N23" s="29">
        <f t="shared" si="1"/>
        <v>9</v>
      </c>
      <c r="O23" s="29" t="s">
        <v>71</v>
      </c>
      <c r="P23" s="33">
        <v>63</v>
      </c>
      <c r="Q23" s="29" t="s">
        <v>835</v>
      </c>
      <c r="R23" s="29" t="s">
        <v>832</v>
      </c>
      <c r="S23" s="29">
        <v>133</v>
      </c>
      <c r="T23" s="29" t="s">
        <v>106</v>
      </c>
      <c r="U23" s="29">
        <v>3.5</v>
      </c>
      <c r="V23" s="29">
        <v>1</v>
      </c>
      <c r="W23" s="29">
        <v>4.5</v>
      </c>
      <c r="X23" s="29" t="s">
        <v>114</v>
      </c>
      <c r="Y23" s="29"/>
      <c r="AA23" s="29">
        <f t="shared" si="2"/>
        <v>6</v>
      </c>
      <c r="AB23" s="29" t="s">
        <v>71</v>
      </c>
      <c r="AC23" s="29">
        <v>63</v>
      </c>
      <c r="AD23" s="29" t="s">
        <v>833</v>
      </c>
      <c r="AE23" s="29" t="s">
        <v>836</v>
      </c>
      <c r="AF23" s="29">
        <v>83.6</v>
      </c>
      <c r="AG23" s="29" t="s">
        <v>276</v>
      </c>
      <c r="AH23" s="29">
        <v>3.2</v>
      </c>
      <c r="AI23" s="29">
        <v>1</v>
      </c>
      <c r="AJ23" s="29">
        <v>4.2</v>
      </c>
      <c r="AK23" s="29" t="s">
        <v>114</v>
      </c>
      <c r="AL23" s="61"/>
    </row>
    <row r="24" spans="1:38">
      <c r="A24" s="33">
        <f t="shared" si="0"/>
        <v>10</v>
      </c>
      <c r="B24" s="29" t="s">
        <v>71</v>
      </c>
      <c r="C24" s="29">
        <v>90</v>
      </c>
      <c r="D24" s="63" t="s">
        <v>834</v>
      </c>
      <c r="E24" s="63" t="s">
        <v>837</v>
      </c>
      <c r="F24" s="29">
        <v>13.6</v>
      </c>
      <c r="G24" s="29" t="s">
        <v>106</v>
      </c>
      <c r="H24" s="29">
        <v>3.3</v>
      </c>
      <c r="I24" s="29">
        <v>1</v>
      </c>
      <c r="J24" s="29">
        <v>4.3</v>
      </c>
      <c r="K24" s="29" t="s">
        <v>114</v>
      </c>
      <c r="L24" s="61"/>
      <c r="N24" s="29">
        <f t="shared" si="1"/>
        <v>10</v>
      </c>
      <c r="O24" s="29" t="s">
        <v>71</v>
      </c>
      <c r="P24" s="33">
        <v>90</v>
      </c>
      <c r="Q24" s="64" t="s">
        <v>838</v>
      </c>
      <c r="R24" s="64" t="s">
        <v>835</v>
      </c>
      <c r="S24" s="29">
        <v>97.9</v>
      </c>
      <c r="T24" s="29" t="s">
        <v>106</v>
      </c>
      <c r="U24" s="29">
        <v>3.5</v>
      </c>
      <c r="V24" s="29">
        <v>1</v>
      </c>
      <c r="W24" s="29">
        <v>4.5</v>
      </c>
      <c r="X24" s="29" t="s">
        <v>114</v>
      </c>
      <c r="Y24" s="29"/>
      <c r="AA24" s="29">
        <f t="shared" si="2"/>
        <v>7</v>
      </c>
      <c r="AB24" s="29" t="s">
        <v>71</v>
      </c>
      <c r="AC24" s="29">
        <v>63</v>
      </c>
      <c r="AD24" s="29" t="s">
        <v>839</v>
      </c>
      <c r="AE24" s="29" t="s">
        <v>840</v>
      </c>
      <c r="AF24" s="29">
        <v>120.4</v>
      </c>
      <c r="AG24" s="29" t="s">
        <v>276</v>
      </c>
      <c r="AH24" s="29">
        <v>3.2</v>
      </c>
      <c r="AI24" s="29">
        <v>1</v>
      </c>
      <c r="AJ24" s="29">
        <v>4.2</v>
      </c>
      <c r="AK24" s="29" t="s">
        <v>114</v>
      </c>
      <c r="AL24" s="61"/>
    </row>
    <row r="25" spans="1:38">
      <c r="A25" s="33">
        <f t="shared" si="0"/>
        <v>11</v>
      </c>
      <c r="B25" s="29" t="s">
        <v>71</v>
      </c>
      <c r="C25" s="29">
        <v>90</v>
      </c>
      <c r="D25" s="63" t="s">
        <v>837</v>
      </c>
      <c r="E25" s="63" t="s">
        <v>841</v>
      </c>
      <c r="F25" s="29">
        <v>72.900000000000006</v>
      </c>
      <c r="G25" s="29" t="s">
        <v>106</v>
      </c>
      <c r="H25" s="29">
        <v>3.3</v>
      </c>
      <c r="I25" s="29">
        <v>1</v>
      </c>
      <c r="J25" s="29">
        <v>4.3</v>
      </c>
      <c r="K25" s="29" t="s">
        <v>114</v>
      </c>
      <c r="L25" s="61"/>
      <c r="N25" s="29">
        <f t="shared" si="1"/>
        <v>11</v>
      </c>
      <c r="O25" s="29" t="s">
        <v>71</v>
      </c>
      <c r="P25" s="33">
        <v>75</v>
      </c>
      <c r="Q25" s="64" t="s">
        <v>832</v>
      </c>
      <c r="R25" s="64" t="s">
        <v>838</v>
      </c>
      <c r="S25" s="29">
        <v>53.2</v>
      </c>
      <c r="T25" s="29" t="s">
        <v>106</v>
      </c>
      <c r="U25" s="29">
        <v>3.5</v>
      </c>
      <c r="V25" s="29">
        <v>1</v>
      </c>
      <c r="W25" s="29">
        <v>4.5</v>
      </c>
      <c r="X25" s="29" t="s">
        <v>114</v>
      </c>
      <c r="Y25" s="29"/>
      <c r="AA25" s="29">
        <f t="shared" si="2"/>
        <v>8</v>
      </c>
      <c r="AB25" s="29" t="s">
        <v>71</v>
      </c>
      <c r="AC25" s="29">
        <v>110</v>
      </c>
      <c r="AD25" s="29" t="s">
        <v>840</v>
      </c>
      <c r="AE25" s="29" t="s">
        <v>842</v>
      </c>
      <c r="AF25" s="29">
        <v>212.2</v>
      </c>
      <c r="AG25" s="29" t="s">
        <v>276</v>
      </c>
      <c r="AH25" s="29">
        <v>3.2</v>
      </c>
      <c r="AI25" s="29">
        <v>1</v>
      </c>
      <c r="AJ25" s="29">
        <v>4.2</v>
      </c>
      <c r="AK25" s="29" t="s">
        <v>114</v>
      </c>
      <c r="AL25" s="61"/>
    </row>
    <row r="26" spans="1:38">
      <c r="A26" s="33">
        <f t="shared" si="0"/>
        <v>12</v>
      </c>
      <c r="B26" s="29" t="s">
        <v>71</v>
      </c>
      <c r="C26" s="29">
        <v>90</v>
      </c>
      <c r="D26" s="63" t="s">
        <v>841</v>
      </c>
      <c r="E26" s="63" t="s">
        <v>843</v>
      </c>
      <c r="F26" s="29">
        <v>89.8</v>
      </c>
      <c r="G26" s="29" t="s">
        <v>106</v>
      </c>
      <c r="H26" s="29">
        <v>3.3</v>
      </c>
      <c r="I26" s="29">
        <v>1</v>
      </c>
      <c r="J26" s="29">
        <v>4.3</v>
      </c>
      <c r="K26" s="29" t="s">
        <v>114</v>
      </c>
      <c r="L26" s="61"/>
      <c r="N26" s="29">
        <f t="shared" si="1"/>
        <v>12</v>
      </c>
      <c r="O26" s="29" t="s">
        <v>71</v>
      </c>
      <c r="P26" s="33">
        <v>75</v>
      </c>
      <c r="Q26" s="64" t="s">
        <v>835</v>
      </c>
      <c r="R26" s="64" t="s">
        <v>844</v>
      </c>
      <c r="S26" s="29">
        <v>162.80000000000001</v>
      </c>
      <c r="T26" s="29" t="s">
        <v>106</v>
      </c>
      <c r="U26" s="29">
        <v>3.5</v>
      </c>
      <c r="V26" s="29">
        <v>1</v>
      </c>
      <c r="W26" s="29">
        <v>4.5</v>
      </c>
      <c r="X26" s="29" t="s">
        <v>114</v>
      </c>
      <c r="Y26" s="29"/>
      <c r="AA26" s="29">
        <f t="shared" si="2"/>
        <v>9</v>
      </c>
      <c r="AB26" s="29" t="s">
        <v>71</v>
      </c>
      <c r="AC26" s="29">
        <v>75</v>
      </c>
      <c r="AD26" s="29" t="s">
        <v>842</v>
      </c>
      <c r="AE26" s="29" t="s">
        <v>802</v>
      </c>
      <c r="AF26" s="29">
        <v>44.5</v>
      </c>
      <c r="AG26" s="29" t="s">
        <v>276</v>
      </c>
      <c r="AH26" s="29">
        <v>3.2</v>
      </c>
      <c r="AI26" s="29">
        <v>1</v>
      </c>
      <c r="AJ26" s="29">
        <v>4.2</v>
      </c>
      <c r="AK26" s="29" t="s">
        <v>114</v>
      </c>
      <c r="AL26" s="61"/>
    </row>
    <row r="27" spans="1:38">
      <c r="A27" s="33">
        <f t="shared" si="0"/>
        <v>13</v>
      </c>
      <c r="B27" s="29" t="s">
        <v>71</v>
      </c>
      <c r="C27" s="29">
        <v>63</v>
      </c>
      <c r="D27" s="65" t="s">
        <v>770</v>
      </c>
      <c r="E27" s="65" t="s">
        <v>828</v>
      </c>
      <c r="F27" s="29">
        <v>22.3</v>
      </c>
      <c r="G27" s="29" t="s">
        <v>106</v>
      </c>
      <c r="H27" s="29">
        <v>3.3</v>
      </c>
      <c r="I27" s="29">
        <v>1</v>
      </c>
      <c r="J27" s="29">
        <v>4.3</v>
      </c>
      <c r="K27" s="29" t="s">
        <v>114</v>
      </c>
      <c r="L27" s="61"/>
      <c r="N27" s="29">
        <f t="shared" si="1"/>
        <v>13</v>
      </c>
      <c r="O27" s="29" t="s">
        <v>71</v>
      </c>
      <c r="P27" s="33">
        <v>90</v>
      </c>
      <c r="Q27" s="63" t="s">
        <v>838</v>
      </c>
      <c r="R27" s="63" t="s">
        <v>843</v>
      </c>
      <c r="S27" s="29">
        <v>578.20000000000005</v>
      </c>
      <c r="T27" s="29" t="s">
        <v>106</v>
      </c>
      <c r="U27" s="29">
        <v>3.5</v>
      </c>
      <c r="V27" s="29">
        <v>1</v>
      </c>
      <c r="W27" s="29">
        <v>4.5</v>
      </c>
      <c r="X27" s="29" t="s">
        <v>114</v>
      </c>
      <c r="Y27" s="29"/>
      <c r="AA27" s="29">
        <f t="shared" si="2"/>
        <v>10</v>
      </c>
      <c r="AB27" s="29" t="s">
        <v>71</v>
      </c>
      <c r="AC27" s="29">
        <v>63</v>
      </c>
      <c r="AD27" s="29" t="s">
        <v>802</v>
      </c>
      <c r="AE27" s="29" t="s">
        <v>845</v>
      </c>
      <c r="AF27" s="29">
        <v>94.7</v>
      </c>
      <c r="AG27" s="29" t="s">
        <v>276</v>
      </c>
      <c r="AH27" s="29">
        <v>3.2</v>
      </c>
      <c r="AI27" s="29">
        <v>1</v>
      </c>
      <c r="AJ27" s="29">
        <v>4.2</v>
      </c>
      <c r="AK27" s="29" t="s">
        <v>114</v>
      </c>
      <c r="AL27" s="61"/>
    </row>
    <row r="28" spans="1:38">
      <c r="A28" s="33">
        <f t="shared" si="0"/>
        <v>14</v>
      </c>
      <c r="B28" s="29" t="s">
        <v>71</v>
      </c>
      <c r="C28" s="29">
        <v>63</v>
      </c>
      <c r="D28" s="65" t="s">
        <v>332</v>
      </c>
      <c r="E28" s="65" t="s">
        <v>846</v>
      </c>
      <c r="F28" s="29">
        <v>150.19999999999999</v>
      </c>
      <c r="G28" s="29" t="s">
        <v>106</v>
      </c>
      <c r="H28" s="29">
        <v>3.3</v>
      </c>
      <c r="I28" s="29">
        <v>1</v>
      </c>
      <c r="J28" s="29">
        <v>4.3</v>
      </c>
      <c r="K28" s="29" t="s">
        <v>114</v>
      </c>
      <c r="L28" s="61"/>
      <c r="N28" s="29">
        <f t="shared" si="1"/>
        <v>14</v>
      </c>
      <c r="O28" s="29" t="s">
        <v>71</v>
      </c>
      <c r="P28" s="33">
        <v>110</v>
      </c>
      <c r="Q28" s="29" t="s">
        <v>843</v>
      </c>
      <c r="R28" s="29" t="s">
        <v>847</v>
      </c>
      <c r="S28" s="29">
        <v>232.7</v>
      </c>
      <c r="T28" s="29" t="s">
        <v>106</v>
      </c>
      <c r="U28" s="29">
        <v>3.5</v>
      </c>
      <c r="V28" s="29">
        <v>1</v>
      </c>
      <c r="W28" s="29">
        <v>4.5</v>
      </c>
      <c r="X28" s="29" t="s">
        <v>114</v>
      </c>
      <c r="Y28" s="29"/>
      <c r="AA28" s="29">
        <f t="shared" si="2"/>
        <v>11</v>
      </c>
      <c r="AB28" s="29" t="s">
        <v>71</v>
      </c>
      <c r="AC28" s="29">
        <v>63</v>
      </c>
      <c r="AD28" s="29" t="s">
        <v>802</v>
      </c>
      <c r="AE28" s="29" t="s">
        <v>746</v>
      </c>
      <c r="AF28" s="29">
        <v>24.6</v>
      </c>
      <c r="AG28" s="29" t="s">
        <v>276</v>
      </c>
      <c r="AH28" s="29">
        <v>3.2</v>
      </c>
      <c r="AI28" s="29">
        <v>1</v>
      </c>
      <c r="AJ28" s="29">
        <v>4.2</v>
      </c>
      <c r="AK28" s="29" t="s">
        <v>114</v>
      </c>
      <c r="AL28" s="61"/>
    </row>
    <row r="29" spans="1:38">
      <c r="A29" s="33">
        <f t="shared" si="0"/>
        <v>15</v>
      </c>
      <c r="B29" s="29" t="s">
        <v>71</v>
      </c>
      <c r="C29" s="29">
        <v>63</v>
      </c>
      <c r="D29" s="65" t="s">
        <v>848</v>
      </c>
      <c r="E29" s="65" t="s">
        <v>849</v>
      </c>
      <c r="F29" s="29">
        <v>57.4</v>
      </c>
      <c r="G29" s="29" t="s">
        <v>106</v>
      </c>
      <c r="H29" s="29">
        <v>3.3</v>
      </c>
      <c r="I29" s="29">
        <v>1</v>
      </c>
      <c r="J29" s="29">
        <v>4.3</v>
      </c>
      <c r="K29" s="29" t="s">
        <v>114</v>
      </c>
      <c r="L29" s="61"/>
      <c r="N29" s="29">
        <f t="shared" si="1"/>
        <v>15</v>
      </c>
      <c r="O29" s="29" t="s">
        <v>71</v>
      </c>
      <c r="P29" s="33">
        <v>110</v>
      </c>
      <c r="Q29" s="75" t="s">
        <v>847</v>
      </c>
      <c r="R29" s="75" t="s">
        <v>850</v>
      </c>
      <c r="S29" s="29">
        <v>72.5</v>
      </c>
      <c r="T29" s="29" t="s">
        <v>106</v>
      </c>
      <c r="U29" s="29">
        <v>3.5</v>
      </c>
      <c r="V29" s="29">
        <v>1</v>
      </c>
      <c r="W29" s="29">
        <v>4.5</v>
      </c>
      <c r="X29" s="29" t="s">
        <v>114</v>
      </c>
      <c r="Y29" s="29"/>
      <c r="AA29" s="29">
        <f t="shared" si="2"/>
        <v>12</v>
      </c>
      <c r="AB29" s="29" t="s">
        <v>71</v>
      </c>
      <c r="AC29" s="29">
        <v>63</v>
      </c>
      <c r="AD29" s="29" t="s">
        <v>746</v>
      </c>
      <c r="AE29" s="29" t="s">
        <v>344</v>
      </c>
      <c r="AF29" s="29">
        <v>111.3</v>
      </c>
      <c r="AG29" s="29" t="s">
        <v>276</v>
      </c>
      <c r="AH29" s="29">
        <v>3.2</v>
      </c>
      <c r="AI29" s="29">
        <v>1</v>
      </c>
      <c r="AJ29" s="29">
        <v>4.2</v>
      </c>
      <c r="AK29" s="29" t="s">
        <v>114</v>
      </c>
      <c r="AL29" s="61"/>
    </row>
    <row r="30" spans="1:38">
      <c r="A30" s="33">
        <f t="shared" si="0"/>
        <v>16</v>
      </c>
      <c r="B30" s="29" t="s">
        <v>71</v>
      </c>
      <c r="C30" s="29">
        <v>63</v>
      </c>
      <c r="D30" s="65" t="s">
        <v>849</v>
      </c>
      <c r="E30" s="65" t="s">
        <v>851</v>
      </c>
      <c r="F30" s="29">
        <v>75.599999999999994</v>
      </c>
      <c r="G30" s="29" t="s">
        <v>106</v>
      </c>
      <c r="H30" s="29">
        <v>3.3</v>
      </c>
      <c r="I30" s="29">
        <v>1</v>
      </c>
      <c r="J30" s="29">
        <v>4.3</v>
      </c>
      <c r="K30" s="29" t="s">
        <v>114</v>
      </c>
      <c r="L30" s="61"/>
      <c r="N30" s="29">
        <f t="shared" si="1"/>
        <v>16</v>
      </c>
      <c r="O30" s="29" t="s">
        <v>71</v>
      </c>
      <c r="P30" s="33">
        <v>110</v>
      </c>
      <c r="Q30" s="75" t="s">
        <v>850</v>
      </c>
      <c r="R30" s="75" t="s">
        <v>674</v>
      </c>
      <c r="S30" s="29">
        <v>11.1</v>
      </c>
      <c r="T30" s="29" t="s">
        <v>106</v>
      </c>
      <c r="U30" s="29">
        <v>3.5</v>
      </c>
      <c r="V30" s="29">
        <v>1</v>
      </c>
      <c r="W30" s="29">
        <v>4.5</v>
      </c>
      <c r="X30" s="29" t="s">
        <v>114</v>
      </c>
      <c r="Y30" s="29"/>
      <c r="AA30" s="29">
        <f t="shared" si="2"/>
        <v>13</v>
      </c>
      <c r="AB30" s="29" t="s">
        <v>71</v>
      </c>
      <c r="AC30" s="29">
        <v>75</v>
      </c>
      <c r="AD30" s="64" t="s">
        <v>842</v>
      </c>
      <c r="AE30" s="64" t="s">
        <v>852</v>
      </c>
      <c r="AF30" s="29">
        <v>75.099999999999994</v>
      </c>
      <c r="AG30" s="29" t="s">
        <v>276</v>
      </c>
      <c r="AH30" s="29">
        <v>3.2</v>
      </c>
      <c r="AI30" s="29">
        <v>1</v>
      </c>
      <c r="AJ30" s="29">
        <v>4.2</v>
      </c>
      <c r="AK30" s="29" t="s">
        <v>114</v>
      </c>
      <c r="AL30" s="61"/>
    </row>
    <row r="31" spans="1:38">
      <c r="A31" s="33">
        <f t="shared" si="0"/>
        <v>17</v>
      </c>
      <c r="B31" s="29" t="s">
        <v>71</v>
      </c>
      <c r="C31" s="29">
        <v>63</v>
      </c>
      <c r="D31" s="65" t="s">
        <v>853</v>
      </c>
      <c r="E31" s="65" t="s">
        <v>854</v>
      </c>
      <c r="F31" s="29">
        <v>21.5</v>
      </c>
      <c r="G31" s="29" t="s">
        <v>106</v>
      </c>
      <c r="H31" s="29">
        <v>3.3</v>
      </c>
      <c r="I31" s="29">
        <v>1</v>
      </c>
      <c r="J31" s="29">
        <v>4.3</v>
      </c>
      <c r="K31" s="29" t="s">
        <v>114</v>
      </c>
      <c r="L31" s="61"/>
      <c r="N31" s="29">
        <f t="shared" si="1"/>
        <v>17</v>
      </c>
      <c r="O31" s="29" t="s">
        <v>71</v>
      </c>
      <c r="P31" s="33">
        <v>110</v>
      </c>
      <c r="Q31" s="75" t="s">
        <v>674</v>
      </c>
      <c r="R31" s="75" t="s">
        <v>806</v>
      </c>
      <c r="S31" s="29">
        <v>21.2</v>
      </c>
      <c r="T31" s="29" t="s">
        <v>106</v>
      </c>
      <c r="U31" s="29">
        <v>3.5</v>
      </c>
      <c r="V31" s="29">
        <v>1</v>
      </c>
      <c r="W31" s="29">
        <v>4.5</v>
      </c>
      <c r="X31" s="29" t="s">
        <v>114</v>
      </c>
      <c r="Y31" s="29"/>
      <c r="AA31" s="29">
        <f t="shared" si="2"/>
        <v>14</v>
      </c>
      <c r="AB31" s="29" t="s">
        <v>71</v>
      </c>
      <c r="AC31" s="29">
        <v>75</v>
      </c>
      <c r="AD31" s="64" t="s">
        <v>852</v>
      </c>
      <c r="AE31" s="64" t="s">
        <v>855</v>
      </c>
      <c r="AF31" s="29">
        <v>46.2</v>
      </c>
      <c r="AG31" s="29" t="s">
        <v>276</v>
      </c>
      <c r="AH31" s="29">
        <v>3.2</v>
      </c>
      <c r="AI31" s="29">
        <v>1</v>
      </c>
      <c r="AJ31" s="29">
        <v>4.2</v>
      </c>
      <c r="AK31" s="29" t="s">
        <v>114</v>
      </c>
      <c r="AL31" s="61"/>
    </row>
    <row r="32" spans="1:38">
      <c r="A32" s="33">
        <f t="shared" si="0"/>
        <v>18</v>
      </c>
      <c r="B32" s="29" t="s">
        <v>71</v>
      </c>
      <c r="C32" s="29">
        <v>63</v>
      </c>
      <c r="D32" s="65" t="s">
        <v>856</v>
      </c>
      <c r="E32" s="65" t="s">
        <v>707</v>
      </c>
      <c r="F32" s="29">
        <v>49.1</v>
      </c>
      <c r="G32" s="29" t="s">
        <v>106</v>
      </c>
      <c r="H32" s="29">
        <v>3.3</v>
      </c>
      <c r="I32" s="29">
        <v>1</v>
      </c>
      <c r="J32" s="29">
        <v>4.3</v>
      </c>
      <c r="K32" s="29" t="s">
        <v>114</v>
      </c>
      <c r="L32" s="61"/>
      <c r="N32" s="29">
        <f t="shared" si="1"/>
        <v>18</v>
      </c>
      <c r="O32" s="29" t="s">
        <v>71</v>
      </c>
      <c r="P32" s="33">
        <v>75</v>
      </c>
      <c r="Q32" s="64" t="s">
        <v>674</v>
      </c>
      <c r="R32" s="64" t="s">
        <v>313</v>
      </c>
      <c r="S32" s="29">
        <v>295.2</v>
      </c>
      <c r="T32" s="29" t="s">
        <v>106</v>
      </c>
      <c r="U32" s="29">
        <v>3.5</v>
      </c>
      <c r="V32" s="29">
        <v>1</v>
      </c>
      <c r="W32" s="29">
        <v>4.5</v>
      </c>
      <c r="X32" s="29" t="s">
        <v>114</v>
      </c>
      <c r="Y32" s="29"/>
      <c r="AA32" s="29">
        <f t="shared" si="2"/>
        <v>15</v>
      </c>
      <c r="AB32" s="29" t="s">
        <v>71</v>
      </c>
      <c r="AC32" s="29">
        <v>75</v>
      </c>
      <c r="AD32" s="64" t="s">
        <v>855</v>
      </c>
      <c r="AE32" s="64" t="s">
        <v>857</v>
      </c>
      <c r="AF32" s="29">
        <v>49.7</v>
      </c>
      <c r="AG32" s="29" t="s">
        <v>276</v>
      </c>
      <c r="AH32" s="29">
        <v>3.2</v>
      </c>
      <c r="AI32" s="29">
        <v>1</v>
      </c>
      <c r="AJ32" s="29">
        <v>4.2</v>
      </c>
      <c r="AK32" s="29" t="s">
        <v>114</v>
      </c>
      <c r="AL32" s="61"/>
    </row>
    <row r="33" spans="1:38">
      <c r="A33" s="33">
        <f t="shared" si="0"/>
        <v>19</v>
      </c>
      <c r="B33" s="29" t="s">
        <v>71</v>
      </c>
      <c r="C33" s="29">
        <v>63</v>
      </c>
      <c r="D33" s="65" t="s">
        <v>858</v>
      </c>
      <c r="E33" s="65" t="s">
        <v>859</v>
      </c>
      <c r="F33" s="29">
        <v>35.4</v>
      </c>
      <c r="G33" s="29" t="s">
        <v>106</v>
      </c>
      <c r="H33" s="29">
        <v>3.3</v>
      </c>
      <c r="I33" s="29">
        <v>1</v>
      </c>
      <c r="J33" s="29">
        <v>4.3</v>
      </c>
      <c r="K33" s="29" t="s">
        <v>114</v>
      </c>
      <c r="L33" s="61"/>
      <c r="N33" s="29">
        <f t="shared" si="1"/>
        <v>19</v>
      </c>
      <c r="O33" s="29" t="s">
        <v>71</v>
      </c>
      <c r="P33" s="33">
        <v>110</v>
      </c>
      <c r="Q33" s="75" t="s">
        <v>806</v>
      </c>
      <c r="R33" s="75" t="s">
        <v>817</v>
      </c>
      <c r="S33" s="29">
        <v>272.60000000000002</v>
      </c>
      <c r="T33" s="29" t="s">
        <v>106</v>
      </c>
      <c r="U33" s="29">
        <v>3.5</v>
      </c>
      <c r="V33" s="29">
        <v>1</v>
      </c>
      <c r="W33" s="29">
        <v>4.5</v>
      </c>
      <c r="X33" s="29" t="s">
        <v>114</v>
      </c>
      <c r="Y33" s="29"/>
      <c r="AA33" s="29">
        <f t="shared" si="2"/>
        <v>16</v>
      </c>
      <c r="AB33" s="29" t="s">
        <v>71</v>
      </c>
      <c r="AC33" s="29">
        <v>75</v>
      </c>
      <c r="AD33" s="64" t="s">
        <v>857</v>
      </c>
      <c r="AE33" s="64" t="s">
        <v>860</v>
      </c>
      <c r="AF33" s="29">
        <v>14.8</v>
      </c>
      <c r="AG33" s="29" t="s">
        <v>276</v>
      </c>
      <c r="AH33" s="29">
        <v>3.2</v>
      </c>
      <c r="AI33" s="29">
        <v>1</v>
      </c>
      <c r="AJ33" s="29">
        <v>4.2</v>
      </c>
      <c r="AK33" s="29" t="s">
        <v>114</v>
      </c>
      <c r="AL33" s="61"/>
    </row>
    <row r="34" spans="1:38">
      <c r="A34" s="33">
        <f t="shared" si="0"/>
        <v>20</v>
      </c>
      <c r="B34" s="29" t="s">
        <v>71</v>
      </c>
      <c r="C34" s="29">
        <v>63</v>
      </c>
      <c r="D34" s="65" t="s">
        <v>861</v>
      </c>
      <c r="E34" s="65" t="s">
        <v>699</v>
      </c>
      <c r="F34" s="29">
        <v>139.1</v>
      </c>
      <c r="G34" s="29" t="s">
        <v>106</v>
      </c>
      <c r="H34" s="29">
        <v>3.3</v>
      </c>
      <c r="I34" s="29">
        <v>1</v>
      </c>
      <c r="J34" s="29">
        <v>4.3</v>
      </c>
      <c r="K34" s="29" t="s">
        <v>114</v>
      </c>
      <c r="L34" s="61"/>
      <c r="N34" s="29">
        <f t="shared" si="1"/>
        <v>20</v>
      </c>
      <c r="O34" s="29" t="s">
        <v>71</v>
      </c>
      <c r="P34" s="33">
        <v>90</v>
      </c>
      <c r="Q34" s="63" t="s">
        <v>862</v>
      </c>
      <c r="R34" s="63" t="s">
        <v>863</v>
      </c>
      <c r="S34" s="29">
        <v>10.1</v>
      </c>
      <c r="T34" s="29" t="s">
        <v>106</v>
      </c>
      <c r="U34" s="29">
        <v>3.5</v>
      </c>
      <c r="V34" s="29">
        <v>1</v>
      </c>
      <c r="W34" s="29">
        <v>4.5</v>
      </c>
      <c r="X34" s="29" t="s">
        <v>114</v>
      </c>
      <c r="Y34" s="29"/>
      <c r="AA34" s="29">
        <f t="shared" si="2"/>
        <v>17</v>
      </c>
      <c r="AB34" s="29" t="s">
        <v>71</v>
      </c>
      <c r="AC34" s="29">
        <v>75</v>
      </c>
      <c r="AD34" s="64" t="s">
        <v>860</v>
      </c>
      <c r="AE34" s="64" t="s">
        <v>840</v>
      </c>
      <c r="AF34" s="29">
        <v>81.3</v>
      </c>
      <c r="AG34" s="29" t="s">
        <v>276</v>
      </c>
      <c r="AH34" s="29">
        <v>3.2</v>
      </c>
      <c r="AI34" s="29">
        <v>1</v>
      </c>
      <c r="AJ34" s="29">
        <v>4.2</v>
      </c>
      <c r="AK34" s="29" t="s">
        <v>114</v>
      </c>
      <c r="AL34" s="61"/>
    </row>
    <row r="35" spans="1:38">
      <c r="A35" s="33">
        <f t="shared" si="0"/>
        <v>21</v>
      </c>
      <c r="B35" s="29" t="s">
        <v>71</v>
      </c>
      <c r="C35" s="29">
        <v>63</v>
      </c>
      <c r="D35" s="65" t="s">
        <v>781</v>
      </c>
      <c r="E35" s="65" t="s">
        <v>795</v>
      </c>
      <c r="F35" s="29">
        <v>38.200000000000003</v>
      </c>
      <c r="G35" s="29" t="s">
        <v>106</v>
      </c>
      <c r="H35" s="29">
        <v>3.3</v>
      </c>
      <c r="I35" s="29">
        <v>1</v>
      </c>
      <c r="J35" s="29">
        <v>4.3</v>
      </c>
      <c r="K35" s="29" t="s">
        <v>114</v>
      </c>
      <c r="L35" s="61"/>
      <c r="N35" s="29">
        <f t="shared" si="1"/>
        <v>21</v>
      </c>
      <c r="O35" s="29" t="s">
        <v>71</v>
      </c>
      <c r="P35" s="33">
        <v>90</v>
      </c>
      <c r="Q35" s="63" t="s">
        <v>863</v>
      </c>
      <c r="R35" s="63" t="s">
        <v>864</v>
      </c>
      <c r="S35" s="29">
        <v>182.8</v>
      </c>
      <c r="T35" s="29" t="s">
        <v>106</v>
      </c>
      <c r="U35" s="29">
        <v>3.5</v>
      </c>
      <c r="V35" s="29">
        <v>1</v>
      </c>
      <c r="W35" s="29">
        <v>4.5</v>
      </c>
      <c r="X35" s="29" t="s">
        <v>114</v>
      </c>
      <c r="Y35" s="29"/>
      <c r="AA35" s="29">
        <f t="shared" si="2"/>
        <v>18</v>
      </c>
      <c r="AB35" s="29" t="s">
        <v>71</v>
      </c>
      <c r="AC35" s="29">
        <v>75</v>
      </c>
      <c r="AD35" s="64" t="s">
        <v>860</v>
      </c>
      <c r="AE35" s="64" t="s">
        <v>865</v>
      </c>
      <c r="AF35" s="29">
        <v>47.5</v>
      </c>
      <c r="AG35" s="29" t="s">
        <v>276</v>
      </c>
      <c r="AH35" s="29">
        <v>3.2</v>
      </c>
      <c r="AI35" s="29">
        <v>1</v>
      </c>
      <c r="AJ35" s="29">
        <v>4.2</v>
      </c>
      <c r="AK35" s="29" t="s">
        <v>114</v>
      </c>
      <c r="AL35" s="61"/>
    </row>
    <row r="36" spans="1:38">
      <c r="A36" s="33">
        <f t="shared" si="0"/>
        <v>22</v>
      </c>
      <c r="B36" s="29" t="s">
        <v>71</v>
      </c>
      <c r="C36" s="29">
        <v>63</v>
      </c>
      <c r="D36" s="65" t="s">
        <v>795</v>
      </c>
      <c r="E36" s="65" t="s">
        <v>866</v>
      </c>
      <c r="F36" s="29">
        <v>23.4</v>
      </c>
      <c r="G36" s="29" t="s">
        <v>106</v>
      </c>
      <c r="H36" s="29">
        <v>3.3</v>
      </c>
      <c r="I36" s="29">
        <v>1</v>
      </c>
      <c r="J36" s="29">
        <v>4.3</v>
      </c>
      <c r="K36" s="29" t="s">
        <v>114</v>
      </c>
      <c r="L36" s="61"/>
      <c r="N36" s="29">
        <f t="shared" si="1"/>
        <v>22</v>
      </c>
      <c r="O36" s="29" t="s">
        <v>71</v>
      </c>
      <c r="P36" s="33">
        <v>90</v>
      </c>
      <c r="Q36" s="63" t="s">
        <v>864</v>
      </c>
      <c r="R36" s="63" t="s">
        <v>725</v>
      </c>
      <c r="S36" s="29">
        <v>18.2</v>
      </c>
      <c r="T36" s="29" t="s">
        <v>106</v>
      </c>
      <c r="U36" s="29">
        <v>3.5</v>
      </c>
      <c r="V36" s="29">
        <v>1</v>
      </c>
      <c r="W36" s="29">
        <v>4.5</v>
      </c>
      <c r="X36" s="29" t="s">
        <v>114</v>
      </c>
      <c r="Y36" s="29"/>
      <c r="AA36" s="29">
        <f t="shared" si="2"/>
        <v>19</v>
      </c>
      <c r="AB36" s="29" t="s">
        <v>71</v>
      </c>
      <c r="AC36" s="29">
        <v>75</v>
      </c>
      <c r="AD36" s="64" t="s">
        <v>714</v>
      </c>
      <c r="AE36" s="64" t="s">
        <v>523</v>
      </c>
      <c r="AF36" s="29">
        <v>108.7</v>
      </c>
      <c r="AG36" s="29" t="s">
        <v>276</v>
      </c>
      <c r="AH36" s="29">
        <v>3.2</v>
      </c>
      <c r="AI36" s="29">
        <v>1</v>
      </c>
      <c r="AJ36" s="29">
        <v>4.2</v>
      </c>
      <c r="AK36" s="29" t="s">
        <v>114</v>
      </c>
      <c r="AL36" s="61"/>
    </row>
    <row r="37" spans="1:38">
      <c r="A37" s="33">
        <f t="shared" si="0"/>
        <v>23</v>
      </c>
      <c r="B37" s="29" t="s">
        <v>71</v>
      </c>
      <c r="C37" s="29">
        <v>75</v>
      </c>
      <c r="D37" s="64" t="s">
        <v>746</v>
      </c>
      <c r="E37" s="64" t="s">
        <v>664</v>
      </c>
      <c r="F37" s="29">
        <v>54.2</v>
      </c>
      <c r="G37" s="29" t="s">
        <v>106</v>
      </c>
      <c r="H37" s="29">
        <v>3.3</v>
      </c>
      <c r="I37" s="29">
        <v>1</v>
      </c>
      <c r="J37" s="29">
        <v>4.3</v>
      </c>
      <c r="K37" s="29" t="s">
        <v>114</v>
      </c>
      <c r="L37" s="61"/>
      <c r="N37" s="29">
        <f t="shared" si="1"/>
        <v>23</v>
      </c>
      <c r="O37" s="29" t="s">
        <v>71</v>
      </c>
      <c r="P37" s="33">
        <v>90</v>
      </c>
      <c r="Q37" s="63" t="s">
        <v>867</v>
      </c>
      <c r="R37" s="63" t="s">
        <v>868</v>
      </c>
      <c r="S37" s="29">
        <v>68.400000000000006</v>
      </c>
      <c r="T37" s="29" t="s">
        <v>106</v>
      </c>
      <c r="U37" s="29">
        <v>3.5</v>
      </c>
      <c r="V37" s="29">
        <v>1</v>
      </c>
      <c r="W37" s="29">
        <v>4.5</v>
      </c>
      <c r="X37" s="29" t="s">
        <v>114</v>
      </c>
      <c r="Y37" s="29"/>
      <c r="AA37" s="29">
        <f t="shared" si="2"/>
        <v>20</v>
      </c>
      <c r="AB37" s="29" t="s">
        <v>71</v>
      </c>
      <c r="AC37" s="29">
        <v>63</v>
      </c>
      <c r="AD37" s="29" t="s">
        <v>523</v>
      </c>
      <c r="AE37" s="29" t="s">
        <v>869</v>
      </c>
      <c r="AF37" s="29">
        <v>137.30000000000001</v>
      </c>
      <c r="AG37" s="29" t="s">
        <v>276</v>
      </c>
      <c r="AH37" s="29">
        <v>3.2</v>
      </c>
      <c r="AI37" s="29">
        <v>1</v>
      </c>
      <c r="AJ37" s="29">
        <v>4.2</v>
      </c>
      <c r="AK37" s="29" t="s">
        <v>114</v>
      </c>
      <c r="AL37" s="61"/>
    </row>
    <row r="38" spans="1:38">
      <c r="A38" s="33">
        <f t="shared" si="0"/>
        <v>24</v>
      </c>
      <c r="B38" s="29" t="s">
        <v>71</v>
      </c>
      <c r="C38" s="29">
        <v>75</v>
      </c>
      <c r="D38" s="64" t="s">
        <v>138</v>
      </c>
      <c r="E38" s="64" t="s">
        <v>853</v>
      </c>
      <c r="F38" s="29">
        <v>57.1</v>
      </c>
      <c r="G38" s="29" t="s">
        <v>106</v>
      </c>
      <c r="H38" s="29">
        <v>3.3</v>
      </c>
      <c r="I38" s="29">
        <v>1</v>
      </c>
      <c r="J38" s="29">
        <v>4.3</v>
      </c>
      <c r="K38" s="29" t="s">
        <v>114</v>
      </c>
      <c r="L38" s="61"/>
      <c r="N38" s="29">
        <f t="shared" si="1"/>
        <v>24</v>
      </c>
      <c r="O38" s="29" t="s">
        <v>71</v>
      </c>
      <c r="P38" s="33">
        <v>63</v>
      </c>
      <c r="Q38" s="29" t="s">
        <v>868</v>
      </c>
      <c r="R38" s="29" t="s">
        <v>595</v>
      </c>
      <c r="S38" s="29">
        <v>30.1</v>
      </c>
      <c r="T38" s="29" t="s">
        <v>106</v>
      </c>
      <c r="U38" s="29">
        <v>3.5</v>
      </c>
      <c r="V38" s="29">
        <v>1</v>
      </c>
      <c r="W38" s="29">
        <v>4.5</v>
      </c>
      <c r="X38" s="29" t="s">
        <v>114</v>
      </c>
      <c r="Y38" s="29"/>
      <c r="AA38" s="29">
        <f t="shared" si="2"/>
        <v>21</v>
      </c>
      <c r="AB38" s="29" t="s">
        <v>71</v>
      </c>
      <c r="AC38" s="29">
        <v>63</v>
      </c>
      <c r="AD38" s="29" t="s">
        <v>870</v>
      </c>
      <c r="AE38" s="29" t="s">
        <v>705</v>
      </c>
      <c r="AF38" s="29">
        <v>169.4</v>
      </c>
      <c r="AG38" s="29" t="s">
        <v>276</v>
      </c>
      <c r="AH38" s="29">
        <v>3.2</v>
      </c>
      <c r="AI38" s="29">
        <v>1</v>
      </c>
      <c r="AJ38" s="29">
        <v>4.2</v>
      </c>
      <c r="AK38" s="29" t="s">
        <v>114</v>
      </c>
      <c r="AL38" s="61"/>
    </row>
    <row r="39" spans="1:38">
      <c r="A39" s="33">
        <f t="shared" si="0"/>
        <v>25</v>
      </c>
      <c r="B39" s="29" t="s">
        <v>71</v>
      </c>
      <c r="C39" s="29">
        <v>75</v>
      </c>
      <c r="D39" s="64" t="s">
        <v>868</v>
      </c>
      <c r="E39" s="64" t="s">
        <v>738</v>
      </c>
      <c r="F39" s="29">
        <v>78.900000000000006</v>
      </c>
      <c r="G39" s="29" t="s">
        <v>106</v>
      </c>
      <c r="H39" s="29">
        <v>3.3</v>
      </c>
      <c r="I39" s="29">
        <v>1</v>
      </c>
      <c r="J39" s="29">
        <v>4.3</v>
      </c>
      <c r="K39" s="29" t="s">
        <v>114</v>
      </c>
      <c r="L39" s="61"/>
      <c r="N39" s="29">
        <f t="shared" si="1"/>
        <v>25</v>
      </c>
      <c r="O39" s="29" t="s">
        <v>71</v>
      </c>
      <c r="P39" s="33">
        <v>110</v>
      </c>
      <c r="Q39" s="75" t="s">
        <v>868</v>
      </c>
      <c r="R39" s="75" t="s">
        <v>820</v>
      </c>
      <c r="S39" s="29">
        <v>98.2</v>
      </c>
      <c r="T39" s="29" t="s">
        <v>106</v>
      </c>
      <c r="U39" s="29">
        <v>3.5</v>
      </c>
      <c r="V39" s="29">
        <v>1</v>
      </c>
      <c r="W39" s="29">
        <v>4.5</v>
      </c>
      <c r="X39" s="29" t="s">
        <v>114</v>
      </c>
      <c r="Y39" s="29"/>
      <c r="AA39" s="29">
        <f t="shared" si="2"/>
        <v>22</v>
      </c>
      <c r="AB39" s="29" t="s">
        <v>71</v>
      </c>
      <c r="AC39" s="29">
        <v>75</v>
      </c>
      <c r="AD39" s="64" t="s">
        <v>705</v>
      </c>
      <c r="AE39" s="64" t="s">
        <v>523</v>
      </c>
      <c r="AF39" s="29">
        <v>73.900000000000006</v>
      </c>
      <c r="AG39" s="29" t="s">
        <v>276</v>
      </c>
      <c r="AH39" s="29">
        <v>3.2</v>
      </c>
      <c r="AI39" s="29">
        <v>1</v>
      </c>
      <c r="AJ39" s="29">
        <v>4.2</v>
      </c>
      <c r="AK39" s="29" t="s">
        <v>114</v>
      </c>
      <c r="AL39" s="61"/>
    </row>
    <row r="40" spans="1:38">
      <c r="A40" s="33">
        <f t="shared" si="0"/>
        <v>26</v>
      </c>
      <c r="B40" s="29" t="s">
        <v>71</v>
      </c>
      <c r="C40" s="29">
        <v>75</v>
      </c>
      <c r="D40" s="64" t="s">
        <v>738</v>
      </c>
      <c r="E40" s="64" t="s">
        <v>736</v>
      </c>
      <c r="F40" s="29">
        <v>39.799999999999997</v>
      </c>
      <c r="G40" s="29" t="s">
        <v>106</v>
      </c>
      <c r="H40" s="29">
        <v>3.3</v>
      </c>
      <c r="I40" s="29">
        <v>1</v>
      </c>
      <c r="J40" s="29">
        <v>4.3</v>
      </c>
      <c r="K40" s="29" t="s">
        <v>114</v>
      </c>
      <c r="L40" s="61"/>
      <c r="N40" s="29">
        <f t="shared" si="1"/>
        <v>26</v>
      </c>
      <c r="O40" s="29" t="s">
        <v>71</v>
      </c>
      <c r="P40" s="33">
        <v>110</v>
      </c>
      <c r="Q40" s="75" t="s">
        <v>820</v>
      </c>
      <c r="R40" s="75" t="s">
        <v>818</v>
      </c>
      <c r="S40" s="29">
        <v>14.1</v>
      </c>
      <c r="T40" s="29" t="s">
        <v>106</v>
      </c>
      <c r="U40" s="29">
        <v>3.5</v>
      </c>
      <c r="V40" s="29">
        <v>1</v>
      </c>
      <c r="W40" s="29">
        <v>4.5</v>
      </c>
      <c r="X40" s="29" t="s">
        <v>114</v>
      </c>
      <c r="Y40" s="29"/>
      <c r="AA40" s="29">
        <f t="shared" si="2"/>
        <v>23</v>
      </c>
      <c r="AB40" s="29" t="s">
        <v>71</v>
      </c>
      <c r="AC40" s="29">
        <v>75</v>
      </c>
      <c r="AD40" s="64" t="s">
        <v>705</v>
      </c>
      <c r="AE40" s="64" t="s">
        <v>313</v>
      </c>
      <c r="AF40" s="29">
        <v>93.3</v>
      </c>
      <c r="AG40" s="29" t="s">
        <v>276</v>
      </c>
      <c r="AH40" s="29">
        <v>3.2</v>
      </c>
      <c r="AI40" s="29">
        <v>1</v>
      </c>
      <c r="AJ40" s="29">
        <v>4.2</v>
      </c>
      <c r="AK40" s="29" t="s">
        <v>114</v>
      </c>
      <c r="AL40" s="61"/>
    </row>
    <row r="41" spans="1:38">
      <c r="A41" s="33">
        <f t="shared" si="0"/>
        <v>27</v>
      </c>
      <c r="B41" s="29" t="s">
        <v>71</v>
      </c>
      <c r="C41" s="29">
        <v>75</v>
      </c>
      <c r="D41" s="64" t="s">
        <v>736</v>
      </c>
      <c r="E41" s="64" t="s">
        <v>768</v>
      </c>
      <c r="F41" s="29">
        <v>34.299999999999997</v>
      </c>
      <c r="G41" s="29" t="s">
        <v>106</v>
      </c>
      <c r="H41" s="29">
        <v>3.3</v>
      </c>
      <c r="I41" s="29">
        <v>1</v>
      </c>
      <c r="J41" s="29">
        <v>4.3</v>
      </c>
      <c r="K41" s="29" t="s">
        <v>114</v>
      </c>
      <c r="L41" s="61"/>
      <c r="N41" s="29">
        <f t="shared" si="1"/>
        <v>27</v>
      </c>
      <c r="O41" s="29" t="s">
        <v>71</v>
      </c>
      <c r="P41" s="33">
        <v>90</v>
      </c>
      <c r="Q41" s="63" t="s">
        <v>818</v>
      </c>
      <c r="R41" s="63" t="s">
        <v>871</v>
      </c>
      <c r="S41" s="29">
        <v>98.5</v>
      </c>
      <c r="T41" s="29" t="s">
        <v>106</v>
      </c>
      <c r="U41" s="29">
        <v>3.5</v>
      </c>
      <c r="V41" s="29">
        <v>1</v>
      </c>
      <c r="W41" s="29">
        <v>4.5</v>
      </c>
      <c r="X41" s="29" t="s">
        <v>114</v>
      </c>
      <c r="Y41" s="29"/>
      <c r="AA41" s="29">
        <f t="shared" si="2"/>
        <v>24</v>
      </c>
      <c r="AB41" s="29" t="s">
        <v>71</v>
      </c>
      <c r="AC41" s="29">
        <v>63</v>
      </c>
      <c r="AD41" s="29" t="s">
        <v>313</v>
      </c>
      <c r="AE41" s="29" t="s">
        <v>817</v>
      </c>
      <c r="AF41" s="29">
        <v>103.6</v>
      </c>
      <c r="AG41" s="29" t="s">
        <v>276</v>
      </c>
      <c r="AH41" s="29">
        <v>3.2</v>
      </c>
      <c r="AI41" s="29">
        <v>1</v>
      </c>
      <c r="AJ41" s="29">
        <v>4.2</v>
      </c>
      <c r="AK41" s="29" t="s">
        <v>114</v>
      </c>
      <c r="AL41" s="61"/>
    </row>
    <row r="42" spans="1:38">
      <c r="A42" s="33">
        <f t="shared" si="0"/>
        <v>28</v>
      </c>
      <c r="B42" s="29" t="s">
        <v>71</v>
      </c>
      <c r="C42" s="29">
        <v>75</v>
      </c>
      <c r="D42" s="64" t="s">
        <v>768</v>
      </c>
      <c r="E42" s="64" t="s">
        <v>769</v>
      </c>
      <c r="F42" s="29">
        <v>32.6</v>
      </c>
      <c r="G42" s="29" t="s">
        <v>106</v>
      </c>
      <c r="H42" s="29">
        <v>3.3</v>
      </c>
      <c r="I42" s="29">
        <v>1</v>
      </c>
      <c r="J42" s="29">
        <v>4.3</v>
      </c>
      <c r="K42" s="29" t="s">
        <v>114</v>
      </c>
      <c r="L42" s="61"/>
      <c r="N42" s="29">
        <f t="shared" si="1"/>
        <v>28</v>
      </c>
      <c r="O42" s="29" t="s">
        <v>71</v>
      </c>
      <c r="P42" s="33">
        <v>90</v>
      </c>
      <c r="Q42" s="63" t="s">
        <v>871</v>
      </c>
      <c r="R42" s="63" t="s">
        <v>872</v>
      </c>
      <c r="S42" s="29">
        <v>16.3</v>
      </c>
      <c r="T42" s="29" t="s">
        <v>106</v>
      </c>
      <c r="U42" s="29">
        <v>3.5</v>
      </c>
      <c r="V42" s="29">
        <v>1</v>
      </c>
      <c r="W42" s="29">
        <v>4.5</v>
      </c>
      <c r="X42" s="29" t="s">
        <v>114</v>
      </c>
      <c r="Y42" s="29"/>
      <c r="AA42" s="29">
        <f t="shared" si="2"/>
        <v>25</v>
      </c>
      <c r="AB42" s="29" t="s">
        <v>71</v>
      </c>
      <c r="AC42" s="29">
        <v>63</v>
      </c>
      <c r="AD42" s="29" t="s">
        <v>833</v>
      </c>
      <c r="AE42" s="29" t="s">
        <v>873</v>
      </c>
      <c r="AF42" s="29">
        <v>83.6</v>
      </c>
      <c r="AG42" s="29" t="s">
        <v>276</v>
      </c>
      <c r="AH42" s="29">
        <v>3.2</v>
      </c>
      <c r="AI42" s="29">
        <v>1</v>
      </c>
      <c r="AJ42" s="29">
        <v>4.2</v>
      </c>
      <c r="AK42" s="29" t="s">
        <v>114</v>
      </c>
      <c r="AL42" s="61"/>
    </row>
    <row r="43" spans="1:38">
      <c r="A43" s="33">
        <f t="shared" si="0"/>
        <v>29</v>
      </c>
      <c r="B43" s="29" t="s">
        <v>71</v>
      </c>
      <c r="C43" s="29">
        <v>250</v>
      </c>
      <c r="D43" s="29" t="s">
        <v>874</v>
      </c>
      <c r="E43" s="29" t="s">
        <v>875</v>
      </c>
      <c r="F43" s="29">
        <v>740</v>
      </c>
      <c r="G43" s="29" t="s">
        <v>106</v>
      </c>
      <c r="H43" s="29">
        <v>3.3</v>
      </c>
      <c r="I43" s="29">
        <v>1</v>
      </c>
      <c r="J43" s="29">
        <v>4.3</v>
      </c>
      <c r="K43" s="29" t="s">
        <v>114</v>
      </c>
      <c r="L43" s="61"/>
      <c r="N43" s="29">
        <f t="shared" si="1"/>
        <v>29</v>
      </c>
      <c r="O43" s="29" t="s">
        <v>71</v>
      </c>
      <c r="P43" s="33">
        <v>90</v>
      </c>
      <c r="Q43" s="63" t="s">
        <v>872</v>
      </c>
      <c r="R43" s="63" t="s">
        <v>876</v>
      </c>
      <c r="S43" s="29">
        <v>38.4</v>
      </c>
      <c r="T43" s="29" t="s">
        <v>106</v>
      </c>
      <c r="U43" s="29">
        <v>3.5</v>
      </c>
      <c r="V43" s="29">
        <v>1</v>
      </c>
      <c r="W43" s="29">
        <v>4.5</v>
      </c>
      <c r="X43" s="29" t="s">
        <v>114</v>
      </c>
      <c r="Y43" s="29"/>
      <c r="AA43" s="29">
        <f t="shared" si="2"/>
        <v>26</v>
      </c>
      <c r="AB43" s="29" t="s">
        <v>71</v>
      </c>
      <c r="AC43" s="29">
        <v>63</v>
      </c>
      <c r="AD43" s="29" t="s">
        <v>877</v>
      </c>
      <c r="AE43" s="29" t="s">
        <v>833</v>
      </c>
      <c r="AF43" s="29">
        <v>17.399999999999999</v>
      </c>
      <c r="AG43" s="29" t="s">
        <v>276</v>
      </c>
      <c r="AH43" s="29">
        <v>3.2</v>
      </c>
      <c r="AI43" s="29">
        <v>1</v>
      </c>
      <c r="AJ43" s="29">
        <v>4.2</v>
      </c>
      <c r="AK43" s="29" t="s">
        <v>114</v>
      </c>
      <c r="AL43" s="61"/>
    </row>
    <row r="44" spans="1:38" ht="15.75">
      <c r="A44" s="66"/>
      <c r="B44" s="350" t="s">
        <v>86</v>
      </c>
      <c r="C44" s="351"/>
      <c r="D44" s="351"/>
      <c r="E44" s="351"/>
      <c r="F44" s="352"/>
      <c r="G44" s="66" t="s">
        <v>87</v>
      </c>
      <c r="H44" s="66"/>
      <c r="I44" s="66"/>
      <c r="J44" s="66" t="s">
        <v>39</v>
      </c>
      <c r="K44" s="66"/>
      <c r="L44" s="66"/>
      <c r="N44" s="29">
        <f t="shared" si="1"/>
        <v>30</v>
      </c>
      <c r="O44" s="29" t="s">
        <v>71</v>
      </c>
      <c r="P44" s="33">
        <v>90</v>
      </c>
      <c r="Q44" s="63" t="s">
        <v>876</v>
      </c>
      <c r="R44" s="63" t="s">
        <v>878</v>
      </c>
      <c r="S44" s="29">
        <v>58.7</v>
      </c>
      <c r="T44" s="29" t="s">
        <v>106</v>
      </c>
      <c r="U44" s="29">
        <v>3.5</v>
      </c>
      <c r="V44" s="29">
        <v>1</v>
      </c>
      <c r="W44" s="29">
        <v>4.5</v>
      </c>
      <c r="X44" s="29" t="s">
        <v>114</v>
      </c>
      <c r="Y44" s="29"/>
      <c r="AA44" s="29">
        <f t="shared" si="2"/>
        <v>27</v>
      </c>
      <c r="AB44" s="29" t="s">
        <v>71</v>
      </c>
      <c r="AC44" s="29">
        <v>110</v>
      </c>
      <c r="AD44" s="29" t="s">
        <v>879</v>
      </c>
      <c r="AE44" s="29" t="s">
        <v>714</v>
      </c>
      <c r="AF44" s="29">
        <v>170.3</v>
      </c>
      <c r="AG44" s="29" t="s">
        <v>276</v>
      </c>
      <c r="AH44" s="29">
        <v>3.2</v>
      </c>
      <c r="AI44" s="29">
        <v>1</v>
      </c>
      <c r="AJ44" s="29">
        <v>4.2</v>
      </c>
      <c r="AK44" s="29" t="s">
        <v>114</v>
      </c>
      <c r="AL44" s="61"/>
    </row>
    <row r="45" spans="1:38" ht="15.75">
      <c r="A45" s="67" t="s">
        <v>40</v>
      </c>
      <c r="B45" s="67"/>
      <c r="C45" s="347"/>
      <c r="D45" s="348"/>
      <c r="E45" s="348"/>
      <c r="F45" s="349"/>
      <c r="G45" s="347"/>
      <c r="H45" s="349"/>
      <c r="I45" s="347"/>
      <c r="J45" s="348"/>
      <c r="K45" s="348"/>
      <c r="L45" s="349"/>
      <c r="N45" s="29">
        <f t="shared" si="1"/>
        <v>31</v>
      </c>
      <c r="O45" s="29" t="s">
        <v>71</v>
      </c>
      <c r="P45" s="33">
        <v>90</v>
      </c>
      <c r="Q45" s="63" t="s">
        <v>878</v>
      </c>
      <c r="R45" s="63" t="s">
        <v>880</v>
      </c>
      <c r="S45" s="29">
        <v>57.3</v>
      </c>
      <c r="T45" s="29" t="s">
        <v>106</v>
      </c>
      <c r="U45" s="29">
        <v>3.5</v>
      </c>
      <c r="V45" s="29">
        <v>1</v>
      </c>
      <c r="W45" s="29">
        <v>4.5</v>
      </c>
      <c r="X45" s="29" t="s">
        <v>114</v>
      </c>
      <c r="Y45" s="29"/>
      <c r="AA45" s="29">
        <f t="shared" si="2"/>
        <v>28</v>
      </c>
      <c r="AB45" s="29" t="s">
        <v>71</v>
      </c>
      <c r="AC45" s="29">
        <v>63</v>
      </c>
      <c r="AD45" s="29" t="s">
        <v>714</v>
      </c>
      <c r="AE45" s="29" t="s">
        <v>881</v>
      </c>
      <c r="AF45" s="29">
        <v>13.4</v>
      </c>
      <c r="AG45" s="29" t="s">
        <v>276</v>
      </c>
      <c r="AH45" s="29">
        <v>3.2</v>
      </c>
      <c r="AI45" s="29">
        <v>1</v>
      </c>
      <c r="AJ45" s="29">
        <v>4.2</v>
      </c>
      <c r="AK45" s="29" t="s">
        <v>114</v>
      </c>
      <c r="AL45" s="61"/>
    </row>
    <row r="46" spans="1:38" ht="15.75">
      <c r="A46" s="67" t="s">
        <v>41</v>
      </c>
      <c r="B46" s="67"/>
      <c r="C46" s="347" t="s">
        <v>133</v>
      </c>
      <c r="D46" s="348"/>
      <c r="E46" s="348"/>
      <c r="F46" s="349"/>
      <c r="G46" s="347"/>
      <c r="H46" s="349"/>
      <c r="I46" s="347"/>
      <c r="J46" s="348"/>
      <c r="K46" s="348"/>
      <c r="L46" s="349"/>
      <c r="N46" s="29">
        <f t="shared" si="1"/>
        <v>32</v>
      </c>
      <c r="O46" s="29" t="s">
        <v>71</v>
      </c>
      <c r="P46" s="33">
        <v>63</v>
      </c>
      <c r="Q46" s="29" t="s">
        <v>876</v>
      </c>
      <c r="R46" s="29" t="s">
        <v>813</v>
      </c>
      <c r="S46" s="29">
        <v>70.2</v>
      </c>
      <c r="T46" s="29" t="s">
        <v>106</v>
      </c>
      <c r="U46" s="29">
        <v>3.5</v>
      </c>
      <c r="V46" s="29">
        <v>1</v>
      </c>
      <c r="W46" s="29">
        <v>4.5</v>
      </c>
      <c r="X46" s="29" t="s">
        <v>114</v>
      </c>
      <c r="Y46" s="29"/>
      <c r="AA46" s="29">
        <f t="shared" si="2"/>
        <v>29</v>
      </c>
      <c r="AB46" s="29" t="s">
        <v>71</v>
      </c>
      <c r="AC46" s="29">
        <v>63</v>
      </c>
      <c r="AD46" s="29" t="s">
        <v>870</v>
      </c>
      <c r="AE46" s="29" t="s">
        <v>705</v>
      </c>
      <c r="AF46" s="29">
        <v>169.4</v>
      </c>
      <c r="AG46" s="29" t="s">
        <v>276</v>
      </c>
      <c r="AH46" s="29">
        <v>3.2</v>
      </c>
      <c r="AI46" s="29">
        <v>1</v>
      </c>
      <c r="AJ46" s="29">
        <v>4.2</v>
      </c>
      <c r="AK46" s="29" t="s">
        <v>114</v>
      </c>
      <c r="AL46" s="61"/>
    </row>
    <row r="47" spans="1:38" ht="15.75">
      <c r="A47" s="67" t="s">
        <v>42</v>
      </c>
      <c r="B47" s="67"/>
      <c r="C47" s="347" t="s">
        <v>698</v>
      </c>
      <c r="D47" s="348"/>
      <c r="E47" s="348"/>
      <c r="F47" s="349"/>
      <c r="G47" s="347"/>
      <c r="H47" s="349"/>
      <c r="I47" s="347"/>
      <c r="J47" s="348"/>
      <c r="K47" s="348"/>
      <c r="L47" s="349"/>
      <c r="N47" s="29">
        <f t="shared" si="1"/>
        <v>33</v>
      </c>
      <c r="O47" s="29" t="s">
        <v>71</v>
      </c>
      <c r="P47" s="33">
        <v>90</v>
      </c>
      <c r="Q47" s="63" t="s">
        <v>813</v>
      </c>
      <c r="R47" s="63" t="s">
        <v>882</v>
      </c>
      <c r="S47" s="29">
        <v>72.099999999999994</v>
      </c>
      <c r="T47" s="29" t="s">
        <v>106</v>
      </c>
      <c r="U47" s="29">
        <v>3.5</v>
      </c>
      <c r="V47" s="29">
        <v>1</v>
      </c>
      <c r="W47" s="29">
        <v>4.5</v>
      </c>
      <c r="X47" s="29" t="s">
        <v>114</v>
      </c>
      <c r="Y47" s="29"/>
      <c r="AA47" s="29">
        <f t="shared" si="2"/>
        <v>30</v>
      </c>
      <c r="AB47" s="29" t="s">
        <v>71</v>
      </c>
      <c r="AC47" s="29">
        <v>63</v>
      </c>
      <c r="AD47" s="29" t="s">
        <v>832</v>
      </c>
      <c r="AE47" s="29" t="s">
        <v>835</v>
      </c>
      <c r="AF47" s="29">
        <v>10.3</v>
      </c>
      <c r="AG47" s="29" t="s">
        <v>276</v>
      </c>
      <c r="AH47" s="29">
        <v>3.2</v>
      </c>
      <c r="AI47" s="29">
        <v>1</v>
      </c>
      <c r="AJ47" s="29">
        <v>4.2</v>
      </c>
      <c r="AK47" s="29" t="s">
        <v>114</v>
      </c>
      <c r="AL47" s="61"/>
    </row>
    <row r="48" spans="1:38" ht="15.75">
      <c r="A48" s="330" t="s">
        <v>43</v>
      </c>
      <c r="B48" s="330"/>
      <c r="C48" s="336"/>
      <c r="D48" s="337"/>
      <c r="E48" s="337"/>
      <c r="F48" s="337"/>
      <c r="G48" s="331"/>
      <c r="H48" s="331"/>
      <c r="I48" s="331"/>
      <c r="J48" s="331"/>
      <c r="K48" s="331"/>
      <c r="L48" s="331"/>
      <c r="N48" s="29">
        <f t="shared" si="1"/>
        <v>34</v>
      </c>
      <c r="O48" s="29" t="s">
        <v>71</v>
      </c>
      <c r="P48" s="33">
        <v>90</v>
      </c>
      <c r="Q48" s="63" t="s">
        <v>883</v>
      </c>
      <c r="R48" s="63" t="s">
        <v>884</v>
      </c>
      <c r="S48" s="29">
        <v>65.400000000000006</v>
      </c>
      <c r="T48" s="29" t="s">
        <v>106</v>
      </c>
      <c r="U48" s="29">
        <v>3.5</v>
      </c>
      <c r="V48" s="29">
        <v>1</v>
      </c>
      <c r="W48" s="29">
        <v>4.5</v>
      </c>
      <c r="X48" s="29" t="s">
        <v>114</v>
      </c>
      <c r="Y48" s="29"/>
      <c r="AA48" s="29">
        <f t="shared" si="2"/>
        <v>31</v>
      </c>
      <c r="AB48" s="29" t="s">
        <v>71</v>
      </c>
      <c r="AC48" s="29">
        <v>75</v>
      </c>
      <c r="AD48" s="75" t="s">
        <v>714</v>
      </c>
      <c r="AE48" s="75" t="s">
        <v>523</v>
      </c>
      <c r="AF48" s="29">
        <v>108.7</v>
      </c>
      <c r="AG48" s="29" t="s">
        <v>276</v>
      </c>
      <c r="AH48" s="29">
        <v>3.2</v>
      </c>
      <c r="AI48" s="29">
        <v>1</v>
      </c>
      <c r="AJ48" s="29">
        <v>4.2</v>
      </c>
      <c r="AK48" s="29" t="s">
        <v>114</v>
      </c>
      <c r="AL48" s="61"/>
    </row>
    <row r="49" spans="1:38">
      <c r="N49" s="29">
        <f t="shared" si="1"/>
        <v>35</v>
      </c>
      <c r="O49" s="29" t="s">
        <v>71</v>
      </c>
      <c r="P49" s="33">
        <v>90</v>
      </c>
      <c r="Q49" s="63" t="s">
        <v>882</v>
      </c>
      <c r="R49" s="63" t="s">
        <v>884</v>
      </c>
      <c r="S49" s="29">
        <v>6.1</v>
      </c>
      <c r="T49" s="29" t="s">
        <v>106</v>
      </c>
      <c r="U49" s="29">
        <v>3.5</v>
      </c>
      <c r="V49" s="29">
        <v>1</v>
      </c>
      <c r="W49" s="29">
        <v>4.5</v>
      </c>
      <c r="X49" s="29" t="s">
        <v>114</v>
      </c>
      <c r="Y49" s="29"/>
      <c r="AA49" s="29">
        <f t="shared" si="2"/>
        <v>32</v>
      </c>
      <c r="AB49" s="29" t="s">
        <v>71</v>
      </c>
      <c r="AC49" s="29">
        <v>75</v>
      </c>
      <c r="AD49" s="64" t="s">
        <v>842</v>
      </c>
      <c r="AE49" s="64" t="s">
        <v>802</v>
      </c>
      <c r="AF49" s="29">
        <v>44.5</v>
      </c>
      <c r="AG49" s="29" t="s">
        <v>276</v>
      </c>
      <c r="AH49" s="29">
        <v>3.2</v>
      </c>
      <c r="AI49" s="29">
        <v>1</v>
      </c>
      <c r="AJ49" s="29">
        <v>4.2</v>
      </c>
      <c r="AK49" s="29" t="s">
        <v>114</v>
      </c>
      <c r="AL49" s="61"/>
    </row>
    <row r="50" spans="1:38">
      <c r="C50">
        <v>63</v>
      </c>
      <c r="D50">
        <v>75</v>
      </c>
      <c r="E50">
        <v>90</v>
      </c>
      <c r="F50">
        <v>250</v>
      </c>
      <c r="N50" s="29">
        <f t="shared" si="1"/>
        <v>36</v>
      </c>
      <c r="O50" s="29" t="s">
        <v>71</v>
      </c>
      <c r="P50" s="33">
        <v>75</v>
      </c>
      <c r="Q50" s="64" t="s">
        <v>884</v>
      </c>
      <c r="R50" s="64"/>
      <c r="S50" s="29">
        <v>292.8</v>
      </c>
      <c r="T50" s="29" t="s">
        <v>106</v>
      </c>
      <c r="U50" s="29">
        <v>3.5</v>
      </c>
      <c r="V50" s="29">
        <v>1</v>
      </c>
      <c r="W50" s="29">
        <v>4.5</v>
      </c>
      <c r="X50" s="29" t="s">
        <v>114</v>
      </c>
      <c r="Y50" s="29"/>
      <c r="AA50" s="29">
        <f t="shared" si="2"/>
        <v>33</v>
      </c>
      <c r="AB50" s="29" t="s">
        <v>71</v>
      </c>
      <c r="AC50" s="29">
        <v>90</v>
      </c>
      <c r="AD50" s="63" t="s">
        <v>853</v>
      </c>
      <c r="AE50" s="63" t="s">
        <v>885</v>
      </c>
      <c r="AF50" s="29">
        <v>97.5</v>
      </c>
      <c r="AG50" s="29" t="s">
        <v>276</v>
      </c>
      <c r="AH50" s="29">
        <v>3.2</v>
      </c>
      <c r="AI50" s="29">
        <v>1</v>
      </c>
      <c r="AJ50" s="29">
        <v>4.2</v>
      </c>
      <c r="AK50" s="29" t="s">
        <v>114</v>
      </c>
      <c r="AL50" s="61"/>
    </row>
    <row r="51" spans="1:38" ht="15.75">
      <c r="C51">
        <f>+SUMIF($C$15:$C$43,C50,$F$15:$F$43)</f>
        <v>695.8</v>
      </c>
      <c r="D51">
        <f t="shared" ref="D51:F51" si="3">+SUMIF($C$15:$C$43,D50,$F$15:$F$43)</f>
        <v>384.1</v>
      </c>
      <c r="E51">
        <f t="shared" si="3"/>
        <v>513.79999999999995</v>
      </c>
      <c r="F51">
        <f t="shared" si="3"/>
        <v>740</v>
      </c>
      <c r="N51" s="66"/>
      <c r="O51" s="350" t="s">
        <v>86</v>
      </c>
      <c r="P51" s="351"/>
      <c r="Q51" s="351"/>
      <c r="R51" s="351"/>
      <c r="S51" s="352"/>
      <c r="T51" s="66" t="s">
        <v>87</v>
      </c>
      <c r="U51" s="66"/>
      <c r="V51" s="66"/>
      <c r="W51" s="66" t="s">
        <v>39</v>
      </c>
      <c r="X51" s="66"/>
      <c r="Y51" s="66"/>
      <c r="AA51" s="29">
        <f t="shared" si="2"/>
        <v>34</v>
      </c>
      <c r="AB51" s="29" t="s">
        <v>71</v>
      </c>
      <c r="AC51" s="29">
        <v>110</v>
      </c>
      <c r="AD51" s="75" t="s">
        <v>886</v>
      </c>
      <c r="AE51" s="75" t="s">
        <v>887</v>
      </c>
      <c r="AF51" s="29">
        <v>168.1</v>
      </c>
      <c r="AG51" s="29" t="s">
        <v>276</v>
      </c>
      <c r="AH51" s="29">
        <v>3.2</v>
      </c>
      <c r="AI51" s="29">
        <v>1</v>
      </c>
      <c r="AJ51" s="29">
        <v>4.2</v>
      </c>
      <c r="AK51" s="29" t="s">
        <v>114</v>
      </c>
      <c r="AL51" s="61"/>
    </row>
    <row r="52" spans="1:38" ht="15.75">
      <c r="N52" s="345" t="s">
        <v>40</v>
      </c>
      <c r="O52" s="346"/>
      <c r="P52" s="347"/>
      <c r="Q52" s="348"/>
      <c r="R52" s="348"/>
      <c r="S52" s="349"/>
      <c r="T52" s="347"/>
      <c r="U52" s="349"/>
      <c r="V52" s="347"/>
      <c r="W52" s="348"/>
      <c r="X52" s="348"/>
      <c r="Y52" s="349"/>
      <c r="AA52" s="29">
        <f t="shared" si="2"/>
        <v>35</v>
      </c>
      <c r="AB52" s="29" t="s">
        <v>71</v>
      </c>
      <c r="AC52" s="29">
        <v>63</v>
      </c>
      <c r="AD52" s="29" t="s">
        <v>746</v>
      </c>
      <c r="AE52" s="29" t="s">
        <v>344</v>
      </c>
      <c r="AF52" s="29">
        <v>111.3</v>
      </c>
      <c r="AG52" s="29" t="s">
        <v>276</v>
      </c>
      <c r="AH52" s="29">
        <v>3.2</v>
      </c>
      <c r="AI52" s="29">
        <v>1</v>
      </c>
      <c r="AJ52" s="29">
        <v>4.2</v>
      </c>
      <c r="AK52" s="29" t="s">
        <v>114</v>
      </c>
      <c r="AL52" s="61"/>
    </row>
    <row r="53" spans="1:38" ht="15.75">
      <c r="N53" s="345" t="s">
        <v>41</v>
      </c>
      <c r="O53" s="346"/>
      <c r="P53" s="347" t="s">
        <v>133</v>
      </c>
      <c r="Q53" s="348"/>
      <c r="R53" s="348"/>
      <c r="S53" s="349"/>
      <c r="T53" s="347"/>
      <c r="U53" s="349"/>
      <c r="V53" s="347"/>
      <c r="W53" s="348"/>
      <c r="X53" s="348"/>
      <c r="Y53" s="349"/>
      <c r="AA53" s="29">
        <f t="shared" si="2"/>
        <v>36</v>
      </c>
      <c r="AB53" s="29" t="s">
        <v>71</v>
      </c>
      <c r="AC53" s="29">
        <v>63</v>
      </c>
      <c r="AD53" s="29" t="s">
        <v>879</v>
      </c>
      <c r="AE53" s="29" t="s">
        <v>714</v>
      </c>
      <c r="AF53" s="29">
        <v>170.3</v>
      </c>
      <c r="AG53" s="29" t="s">
        <v>276</v>
      </c>
      <c r="AH53" s="29">
        <v>3.2</v>
      </c>
      <c r="AI53" s="29">
        <v>1</v>
      </c>
      <c r="AJ53" s="29">
        <v>4.2</v>
      </c>
      <c r="AK53" s="29" t="s">
        <v>114</v>
      </c>
      <c r="AL53" s="61"/>
    </row>
    <row r="54" spans="1:38" ht="15.75">
      <c r="N54" s="345" t="s">
        <v>42</v>
      </c>
      <c r="O54" s="346"/>
      <c r="P54" s="347" t="s">
        <v>698</v>
      </c>
      <c r="Q54" s="348"/>
      <c r="R54" s="348"/>
      <c r="S54" s="349"/>
      <c r="T54" s="347"/>
      <c r="U54" s="349"/>
      <c r="V54" s="347"/>
      <c r="W54" s="348"/>
      <c r="X54" s="348"/>
      <c r="Y54" s="349"/>
      <c r="AA54" s="29">
        <f t="shared" si="2"/>
        <v>37</v>
      </c>
      <c r="AB54" s="29" t="s">
        <v>71</v>
      </c>
      <c r="AC54" s="29">
        <v>63</v>
      </c>
      <c r="AD54" s="29" t="s">
        <v>870</v>
      </c>
      <c r="AE54" s="29" t="s">
        <v>705</v>
      </c>
      <c r="AF54" s="29">
        <v>169.4</v>
      </c>
      <c r="AG54" s="29" t="s">
        <v>276</v>
      </c>
      <c r="AH54" s="29">
        <v>3.2</v>
      </c>
      <c r="AI54" s="29">
        <v>1</v>
      </c>
      <c r="AJ54" s="29">
        <v>4.2</v>
      </c>
      <c r="AK54" s="29" t="s">
        <v>114</v>
      </c>
      <c r="AL54" s="61"/>
    </row>
    <row r="55" spans="1:38" ht="23.25">
      <c r="A55" s="206"/>
      <c r="B55" s="211" t="s">
        <v>44</v>
      </c>
      <c r="C55" s="212"/>
      <c r="D55" s="212"/>
      <c r="E55" s="212"/>
      <c r="F55" s="212"/>
      <c r="G55" s="212"/>
      <c r="H55" s="213"/>
      <c r="I55" s="2"/>
      <c r="J55" s="20"/>
      <c r="K55" s="20"/>
      <c r="L55" s="21"/>
      <c r="N55" s="330" t="s">
        <v>43</v>
      </c>
      <c r="O55" s="330"/>
      <c r="P55" s="336"/>
      <c r="Q55" s="337"/>
      <c r="R55" s="337"/>
      <c r="S55" s="337"/>
      <c r="T55" s="331"/>
      <c r="U55" s="331"/>
      <c r="V55" s="331"/>
      <c r="W55" s="331"/>
      <c r="X55" s="331"/>
      <c r="Y55" s="331"/>
      <c r="AA55" s="29">
        <f t="shared" si="2"/>
        <v>38</v>
      </c>
      <c r="AB55" s="29" t="s">
        <v>71</v>
      </c>
      <c r="AC55" s="29">
        <v>63</v>
      </c>
      <c r="AD55" s="29" t="s">
        <v>868</v>
      </c>
      <c r="AE55" s="29" t="s">
        <v>595</v>
      </c>
      <c r="AF55" s="29">
        <v>30.1</v>
      </c>
      <c r="AG55" s="29" t="s">
        <v>276</v>
      </c>
      <c r="AH55" s="29">
        <v>3.2</v>
      </c>
      <c r="AI55" s="29">
        <v>1</v>
      </c>
      <c r="AJ55" s="29">
        <v>4.2</v>
      </c>
      <c r="AK55" s="29" t="s">
        <v>114</v>
      </c>
      <c r="AL55" s="61"/>
    </row>
    <row r="56" spans="1:38" ht="23.25">
      <c r="A56" s="207"/>
      <c r="B56" s="214"/>
      <c r="C56" s="215"/>
      <c r="D56" s="215"/>
      <c r="E56" s="215"/>
      <c r="F56" s="215"/>
      <c r="G56" s="215"/>
      <c r="H56" s="216"/>
      <c r="I56" s="4"/>
      <c r="L56" s="22"/>
      <c r="N56" s="46"/>
      <c r="AA56" s="66"/>
      <c r="AB56" s="350" t="s">
        <v>86</v>
      </c>
      <c r="AC56" s="351"/>
      <c r="AD56" s="351"/>
      <c r="AE56" s="351"/>
      <c r="AF56" s="352"/>
      <c r="AG56" s="66" t="s">
        <v>87</v>
      </c>
      <c r="AH56" s="66"/>
      <c r="AI56" s="66"/>
      <c r="AJ56" s="66" t="s">
        <v>39</v>
      </c>
      <c r="AK56" s="66"/>
      <c r="AL56" s="66"/>
    </row>
    <row r="57" spans="1:38" ht="23.25">
      <c r="A57" s="207"/>
      <c r="B57" s="214"/>
      <c r="C57" s="215"/>
      <c r="D57" s="215"/>
      <c r="E57" s="215"/>
      <c r="F57" s="215"/>
      <c r="G57" s="215"/>
      <c r="H57" s="216"/>
      <c r="I57" s="4"/>
      <c r="L57" s="22"/>
      <c r="N57" s="46"/>
      <c r="R57">
        <v>63</v>
      </c>
      <c r="S57">
        <v>75</v>
      </c>
      <c r="T57">
        <v>90</v>
      </c>
      <c r="U57">
        <v>110</v>
      </c>
      <c r="AA57" s="345" t="s">
        <v>40</v>
      </c>
      <c r="AB57" s="346"/>
      <c r="AC57" s="347"/>
      <c r="AD57" s="348"/>
      <c r="AE57" s="348"/>
      <c r="AF57" s="349"/>
      <c r="AG57" s="347"/>
      <c r="AH57" s="349"/>
      <c r="AI57" s="347"/>
      <c r="AJ57" s="348"/>
      <c r="AK57" s="348"/>
      <c r="AL57" s="349"/>
    </row>
    <row r="58" spans="1:38" ht="23.25">
      <c r="A58" s="207"/>
      <c r="B58" s="214"/>
      <c r="C58" s="215"/>
      <c r="D58" s="215"/>
      <c r="E58" s="215"/>
      <c r="F58" s="215"/>
      <c r="G58" s="215"/>
      <c r="H58" s="216"/>
      <c r="I58" s="4"/>
      <c r="L58" s="22"/>
      <c r="N58" s="46"/>
      <c r="R58">
        <f>+SUMIF($P$15:$P$50,R57,$S$15:$S$50)</f>
        <v>430.40000000000003</v>
      </c>
      <c r="S58">
        <f t="shared" ref="S58:U58" si="4">+SUMIF($P$15:$P$50,S57,$S$15:$S$50)</f>
        <v>1033.5999999999999</v>
      </c>
      <c r="T58">
        <f t="shared" si="4"/>
        <v>1368.3999999999999</v>
      </c>
      <c r="U58">
        <f t="shared" si="4"/>
        <v>851.90000000000009</v>
      </c>
      <c r="AA58" s="345" t="s">
        <v>41</v>
      </c>
      <c r="AB58" s="346"/>
      <c r="AC58" s="347" t="s">
        <v>133</v>
      </c>
      <c r="AD58" s="348"/>
      <c r="AE58" s="348"/>
      <c r="AF58" s="349"/>
      <c r="AG58" s="347"/>
      <c r="AH58" s="349"/>
      <c r="AI58" s="347"/>
      <c r="AJ58" s="348"/>
      <c r="AK58" s="348"/>
      <c r="AL58" s="349"/>
    </row>
    <row r="59" spans="1:38" ht="16.5">
      <c r="A59" s="223" t="s">
        <v>45</v>
      </c>
      <c r="B59" s="224"/>
      <c r="C59" s="7" t="s">
        <v>46</v>
      </c>
      <c r="D59" s="8"/>
      <c r="E59" s="8"/>
      <c r="F59" s="8"/>
      <c r="G59" s="8"/>
      <c r="H59" s="8"/>
      <c r="I59" s="8"/>
      <c r="J59" s="8"/>
      <c r="K59" s="8"/>
      <c r="L59" s="23"/>
      <c r="AA59" s="345" t="s">
        <v>42</v>
      </c>
      <c r="AB59" s="346"/>
      <c r="AC59" s="347" t="s">
        <v>698</v>
      </c>
      <c r="AD59" s="348"/>
      <c r="AE59" s="348"/>
      <c r="AF59" s="349"/>
      <c r="AG59" s="347"/>
      <c r="AH59" s="349"/>
      <c r="AI59" s="347"/>
      <c r="AJ59" s="348"/>
      <c r="AK59" s="348"/>
      <c r="AL59" s="349"/>
    </row>
    <row r="60" spans="1:38" ht="16.5">
      <c r="A60" s="223" t="s">
        <v>48</v>
      </c>
      <c r="B60" s="224"/>
      <c r="C60" s="7" t="s">
        <v>49</v>
      </c>
      <c r="D60" s="8"/>
      <c r="E60" s="8"/>
      <c r="F60" s="8"/>
      <c r="G60" s="8"/>
      <c r="H60" s="8"/>
      <c r="I60" s="8"/>
      <c r="J60" s="8"/>
      <c r="K60" s="8"/>
      <c r="L60" s="23"/>
      <c r="AA60" s="330" t="s">
        <v>43</v>
      </c>
      <c r="AB60" s="330"/>
      <c r="AC60" s="336"/>
      <c r="AD60" s="337"/>
      <c r="AE60" s="337"/>
      <c r="AF60" s="337"/>
      <c r="AG60" s="331"/>
      <c r="AH60" s="331"/>
      <c r="AI60" s="331"/>
      <c r="AJ60" s="331"/>
      <c r="AK60" s="331"/>
      <c r="AL60" s="331"/>
    </row>
    <row r="61" spans="1:38" ht="16.5">
      <c r="A61" s="225" t="s">
        <v>50</v>
      </c>
      <c r="B61" s="226"/>
      <c r="C61" s="7" t="s">
        <v>51</v>
      </c>
      <c r="D61" s="8"/>
      <c r="E61" s="8"/>
      <c r="F61" s="8"/>
      <c r="G61" s="8"/>
      <c r="H61" s="8"/>
      <c r="I61" s="8"/>
      <c r="J61" s="8"/>
      <c r="K61" s="8"/>
      <c r="L61" s="23"/>
    </row>
    <row r="62" spans="1:38" ht="16.5">
      <c r="A62" s="223" t="s">
        <v>52</v>
      </c>
      <c r="B62" s="224"/>
      <c r="C62" s="7" t="s">
        <v>53</v>
      </c>
      <c r="D62" s="8"/>
      <c r="E62" s="8"/>
      <c r="F62" s="8"/>
      <c r="G62" s="8"/>
      <c r="H62" s="8"/>
      <c r="I62" s="8"/>
      <c r="J62" s="8"/>
      <c r="K62" s="8"/>
      <c r="L62" s="23"/>
      <c r="AC62" s="46">
        <v>63</v>
      </c>
      <c r="AD62" s="46">
        <v>75</v>
      </c>
      <c r="AE62" s="46">
        <v>90</v>
      </c>
      <c r="AF62" s="46">
        <v>110</v>
      </c>
    </row>
    <row r="63" spans="1:38" ht="15.75">
      <c r="A63" s="227" t="s">
        <v>249</v>
      </c>
      <c r="B63" s="228"/>
      <c r="C63" s="228"/>
      <c r="D63" s="228"/>
      <c r="E63" s="228"/>
      <c r="F63" s="228"/>
      <c r="G63" s="228"/>
      <c r="H63" s="228"/>
      <c r="I63" s="228"/>
      <c r="J63" s="228"/>
      <c r="K63" s="228"/>
      <c r="L63" s="229"/>
      <c r="R63" s="76"/>
      <c r="S63" s="77"/>
      <c r="T63" s="78"/>
      <c r="U63" s="79"/>
      <c r="AC63" s="46">
        <f>+SUMIF($AC$18:$AC$55,AC62,$AF$18:$AF$55)</f>
        <v>1646.6999999999998</v>
      </c>
      <c r="AD63" s="46">
        <f t="shared" ref="AD63:AF63" si="5">+SUMIF($AC$18:$AC$55,AD62,$AF$18:$AF$55)</f>
        <v>788.2</v>
      </c>
      <c r="AE63" s="46">
        <f t="shared" si="5"/>
        <v>226.79999999999998</v>
      </c>
      <c r="AF63" s="46">
        <f t="shared" si="5"/>
        <v>745.69999999999993</v>
      </c>
    </row>
    <row r="64" spans="1:38" ht="15.75">
      <c r="A64" s="11" t="s">
        <v>55</v>
      </c>
      <c r="B64" s="71">
        <v>44968</v>
      </c>
      <c r="C64" s="12"/>
      <c r="D64" s="12"/>
      <c r="E64" s="12"/>
      <c r="F64" s="12"/>
      <c r="G64" s="24" t="s">
        <v>56</v>
      </c>
      <c r="H64" s="72">
        <v>44968</v>
      </c>
      <c r="I64" s="12"/>
      <c r="J64" s="12"/>
      <c r="K64" s="12"/>
      <c r="L64" s="26"/>
      <c r="R64">
        <v>63</v>
      </c>
      <c r="S64">
        <v>75</v>
      </c>
      <c r="T64">
        <v>90</v>
      </c>
      <c r="U64">
        <v>110</v>
      </c>
      <c r="V64">
        <v>250</v>
      </c>
    </row>
    <row r="65" spans="1:22">
      <c r="A65" s="217"/>
      <c r="B65" s="218"/>
      <c r="C65" s="218"/>
      <c r="D65" s="218"/>
      <c r="E65" s="218"/>
      <c r="F65" s="218"/>
      <c r="G65" s="218"/>
      <c r="H65" s="218"/>
      <c r="I65" s="218"/>
      <c r="J65" s="218"/>
      <c r="K65" s="218"/>
      <c r="L65" s="219"/>
      <c r="P65" s="354" t="s">
        <v>888</v>
      </c>
      <c r="Q65" s="354"/>
      <c r="R65">
        <f>+C51+R58+AC63+E95</f>
        <v>3083.8999999999996</v>
      </c>
      <c r="S65">
        <f>+D51+S58+AD63+F95</f>
        <v>2760.8999999999996</v>
      </c>
      <c r="T65">
        <f>+E51+T58+AE63</f>
        <v>2109</v>
      </c>
      <c r="U65">
        <f>+U58+G95+AF63</f>
        <v>3011.5</v>
      </c>
      <c r="V65">
        <f>+F51</f>
        <v>740</v>
      </c>
    </row>
    <row r="66" spans="1:22">
      <c r="A66" s="11" t="s">
        <v>250</v>
      </c>
      <c r="B66" s="73"/>
      <c r="C66" s="73"/>
      <c r="D66" s="81"/>
      <c r="E66" s="24"/>
      <c r="F66" s="25"/>
      <c r="G66" s="24" t="s">
        <v>58</v>
      </c>
      <c r="H66" s="82">
        <v>44968</v>
      </c>
      <c r="I66" s="74"/>
      <c r="J66" s="74"/>
      <c r="K66" s="74"/>
      <c r="L66" s="80"/>
    </row>
    <row r="67" spans="1:22">
      <c r="A67" s="208" t="s">
        <v>59</v>
      </c>
      <c r="B67" s="209" t="s">
        <v>60</v>
      </c>
      <c r="C67" s="210" t="s">
        <v>61</v>
      </c>
      <c r="D67" s="210" t="s">
        <v>62</v>
      </c>
      <c r="E67" s="210" t="s">
        <v>63</v>
      </c>
      <c r="F67" s="210" t="s">
        <v>64</v>
      </c>
      <c r="G67" s="243" t="s">
        <v>251</v>
      </c>
      <c r="H67" s="220" t="s">
        <v>66</v>
      </c>
      <c r="I67" s="221"/>
      <c r="J67" s="222"/>
      <c r="K67" s="209" t="s">
        <v>30</v>
      </c>
      <c r="L67" s="244" t="s">
        <v>67</v>
      </c>
    </row>
    <row r="68" spans="1:22" ht="45">
      <c r="A68" s="208"/>
      <c r="B68" s="209"/>
      <c r="C68" s="210"/>
      <c r="D68" s="210"/>
      <c r="E68" s="210"/>
      <c r="F68" s="210"/>
      <c r="G68" s="243"/>
      <c r="H68" s="16" t="s">
        <v>68</v>
      </c>
      <c r="I68" s="62" t="s">
        <v>69</v>
      </c>
      <c r="J68" s="16" t="s">
        <v>70</v>
      </c>
      <c r="K68" s="209"/>
      <c r="L68" s="244"/>
      <c r="P68" s="353" t="s">
        <v>889</v>
      </c>
      <c r="Q68" s="353"/>
      <c r="R68" s="29" t="e">
        <f>+SUMIF('[1]ATTARASAND KHAYATHI'!$G$5:$G$136,'[1]ATTARASAND KHAYATHI'!C137,'[1]ATTARASAND KHAYATHI'!$H$5:$H$136)</f>
        <v>#VALUE!</v>
      </c>
      <c r="S68" s="29" t="e">
        <f>+SUMIF('[1]ATTARASAND KHAYATHI'!$G$5:$G$136,'[1]ATTARASAND KHAYATHI'!D137,'[1]ATTARASAND KHAYATHI'!$H$5:$H$136)</f>
        <v>#VALUE!</v>
      </c>
      <c r="T68" s="29" t="e">
        <f>+SUMIF('[1]ATTARASAND KHAYATHI'!$G$5:$G$136,'[1]ATTARASAND KHAYATHI'!E137,'[1]ATTARASAND KHAYATHI'!$H$5:$H$136)</f>
        <v>#VALUE!</v>
      </c>
      <c r="U68" s="29">
        <f>+AF63+U58+G95</f>
        <v>3011.5</v>
      </c>
      <c r="V68" s="29" t="e">
        <f>+SUMIF('[1]ATTARASAND KHAYATHI'!$G$5:$G$136,'[1]ATTARASAND KHAYATHI'!G137,'[1]ATTARASAND KHAYATHI'!$H$5:$H$136)</f>
        <v>#VALUE!</v>
      </c>
    </row>
    <row r="69" spans="1:22" ht="15.75">
      <c r="A69" s="15">
        <v>1</v>
      </c>
      <c r="B69" s="85" t="s">
        <v>71</v>
      </c>
      <c r="C69" s="85">
        <v>110</v>
      </c>
      <c r="D69" s="86" t="s">
        <v>252</v>
      </c>
      <c r="E69" s="86" t="s">
        <v>253</v>
      </c>
      <c r="F69" s="87">
        <v>642</v>
      </c>
      <c r="G69" s="87">
        <v>5.5</v>
      </c>
      <c r="H69" s="33" t="s">
        <v>254</v>
      </c>
      <c r="I69" s="33" t="s">
        <v>255</v>
      </c>
      <c r="J69" s="33" t="s">
        <v>256</v>
      </c>
      <c r="K69" s="61"/>
      <c r="L69" s="100"/>
    </row>
    <row r="70" spans="1:22" ht="15.75">
      <c r="A70" s="15">
        <f>A69+1</f>
        <v>2</v>
      </c>
      <c r="B70" s="85" t="s">
        <v>71</v>
      </c>
      <c r="C70" s="85">
        <v>110</v>
      </c>
      <c r="D70" s="86" t="s">
        <v>257</v>
      </c>
      <c r="E70" s="86" t="s">
        <v>258</v>
      </c>
      <c r="F70" s="87">
        <v>216</v>
      </c>
      <c r="G70" s="87">
        <v>5.5</v>
      </c>
      <c r="H70" s="33" t="s">
        <v>254</v>
      </c>
      <c r="I70" s="33" t="s">
        <v>255</v>
      </c>
      <c r="J70" s="33" t="s">
        <v>256</v>
      </c>
      <c r="K70" s="61"/>
      <c r="L70" s="100"/>
      <c r="R70" t="e">
        <f>+R68-R65</f>
        <v>#VALUE!</v>
      </c>
      <c r="S70" t="e">
        <f t="shared" ref="S70:V70" si="6">+S68-S65</f>
        <v>#VALUE!</v>
      </c>
      <c r="T70" t="e">
        <f t="shared" si="6"/>
        <v>#VALUE!</v>
      </c>
      <c r="U70">
        <f t="shared" si="6"/>
        <v>0</v>
      </c>
      <c r="V70" t="e">
        <f t="shared" si="6"/>
        <v>#VALUE!</v>
      </c>
    </row>
    <row r="71" spans="1:22" ht="15.75">
      <c r="A71" s="15">
        <f t="shared" ref="A71:A85" si="7">A70+1</f>
        <v>3</v>
      </c>
      <c r="B71" s="85" t="s">
        <v>71</v>
      </c>
      <c r="C71" s="85">
        <v>110</v>
      </c>
      <c r="D71" s="85" t="s">
        <v>258</v>
      </c>
      <c r="E71" s="85" t="s">
        <v>259</v>
      </c>
      <c r="F71" s="87">
        <v>107</v>
      </c>
      <c r="G71" s="87">
        <v>5.5</v>
      </c>
      <c r="H71" s="33" t="s">
        <v>254</v>
      </c>
      <c r="I71" s="33" t="s">
        <v>255</v>
      </c>
      <c r="J71" s="33" t="s">
        <v>256</v>
      </c>
      <c r="K71" s="61"/>
      <c r="L71" s="100"/>
    </row>
    <row r="72" spans="1:22" ht="15.75">
      <c r="A72" s="15">
        <f t="shared" si="7"/>
        <v>4</v>
      </c>
      <c r="B72" s="85" t="s">
        <v>71</v>
      </c>
      <c r="C72" s="85">
        <v>110</v>
      </c>
      <c r="D72" s="86" t="s">
        <v>259</v>
      </c>
      <c r="E72" s="86" t="s">
        <v>260</v>
      </c>
      <c r="F72" s="87">
        <v>43.8</v>
      </c>
      <c r="G72" s="87">
        <v>5.5</v>
      </c>
      <c r="H72" s="33" t="s">
        <v>254</v>
      </c>
      <c r="I72" s="33" t="s">
        <v>255</v>
      </c>
      <c r="J72" s="33" t="s">
        <v>256</v>
      </c>
      <c r="K72" s="61"/>
      <c r="L72" s="100"/>
    </row>
    <row r="73" spans="1:22" ht="15.75">
      <c r="A73" s="15">
        <f t="shared" si="7"/>
        <v>5</v>
      </c>
      <c r="B73" s="85" t="s">
        <v>71</v>
      </c>
      <c r="C73" s="85">
        <v>110</v>
      </c>
      <c r="D73" s="86" t="s">
        <v>260</v>
      </c>
      <c r="E73" s="86" t="s">
        <v>261</v>
      </c>
      <c r="F73" s="87">
        <v>14.1</v>
      </c>
      <c r="G73" s="87">
        <v>5.5</v>
      </c>
      <c r="H73" s="33" t="s">
        <v>254</v>
      </c>
      <c r="I73" s="33" t="s">
        <v>255</v>
      </c>
      <c r="J73" s="33" t="s">
        <v>256</v>
      </c>
      <c r="K73" s="61"/>
      <c r="L73" s="100"/>
    </row>
    <row r="74" spans="1:22" ht="15.75">
      <c r="A74" s="15">
        <f t="shared" si="7"/>
        <v>6</v>
      </c>
      <c r="B74" s="85" t="s">
        <v>71</v>
      </c>
      <c r="C74" s="85">
        <v>110</v>
      </c>
      <c r="D74" s="85" t="s">
        <v>261</v>
      </c>
      <c r="E74" s="85" t="s">
        <v>262</v>
      </c>
      <c r="F74" s="87">
        <v>48</v>
      </c>
      <c r="G74" s="87">
        <v>5.5</v>
      </c>
      <c r="H74" s="33" t="s">
        <v>254</v>
      </c>
      <c r="I74" s="33" t="s">
        <v>255</v>
      </c>
      <c r="J74" s="33" t="s">
        <v>256</v>
      </c>
      <c r="K74" s="61"/>
      <c r="L74" s="100"/>
    </row>
    <row r="75" spans="1:22" ht="15.75">
      <c r="A75" s="15">
        <f t="shared" si="7"/>
        <v>7</v>
      </c>
      <c r="B75" s="85" t="s">
        <v>71</v>
      </c>
      <c r="C75" s="85">
        <v>110</v>
      </c>
      <c r="D75" s="85" t="s">
        <v>262</v>
      </c>
      <c r="E75" s="85" t="s">
        <v>263</v>
      </c>
      <c r="F75" s="87">
        <v>42</v>
      </c>
      <c r="G75" s="87">
        <v>5.5</v>
      </c>
      <c r="H75" s="33" t="s">
        <v>254</v>
      </c>
      <c r="I75" s="33" t="s">
        <v>255</v>
      </c>
      <c r="J75" s="33" t="s">
        <v>256</v>
      </c>
      <c r="K75" s="61"/>
      <c r="L75" s="100"/>
    </row>
    <row r="76" spans="1:22" ht="15.75">
      <c r="A76" s="15">
        <f t="shared" si="7"/>
        <v>8</v>
      </c>
      <c r="B76" s="85" t="s">
        <v>71</v>
      </c>
      <c r="C76" s="85">
        <v>110</v>
      </c>
      <c r="D76" s="85" t="s">
        <v>264</v>
      </c>
      <c r="E76" s="85" t="s">
        <v>265</v>
      </c>
      <c r="F76" s="87">
        <v>271</v>
      </c>
      <c r="G76" s="87">
        <v>5.5</v>
      </c>
      <c r="H76" s="33" t="s">
        <v>254</v>
      </c>
      <c r="I76" s="33" t="s">
        <v>255</v>
      </c>
      <c r="J76" s="33" t="s">
        <v>256</v>
      </c>
      <c r="K76" s="61"/>
      <c r="L76" s="100"/>
      <c r="O76">
        <v>2333.6999999999998</v>
      </c>
    </row>
    <row r="77" spans="1:22" ht="15.75">
      <c r="A77" s="15">
        <f t="shared" si="7"/>
        <v>9</v>
      </c>
      <c r="B77" s="85" t="s">
        <v>71</v>
      </c>
      <c r="C77" s="85">
        <v>110</v>
      </c>
      <c r="D77" s="85" t="s">
        <v>265</v>
      </c>
      <c r="E77" s="85" t="s">
        <v>266</v>
      </c>
      <c r="F77" s="87">
        <v>20</v>
      </c>
      <c r="G77" s="87">
        <v>5.5</v>
      </c>
      <c r="H77" s="33" t="s">
        <v>254</v>
      </c>
      <c r="I77" s="33" t="s">
        <v>255</v>
      </c>
      <c r="J77" s="33" t="s">
        <v>256</v>
      </c>
      <c r="K77" s="61"/>
      <c r="L77" s="100"/>
      <c r="O77">
        <v>3684.3</v>
      </c>
    </row>
    <row r="78" spans="1:22" ht="15.75">
      <c r="A78" s="15">
        <f t="shared" si="7"/>
        <v>10</v>
      </c>
      <c r="B78" s="85" t="s">
        <v>71</v>
      </c>
      <c r="C78" s="85">
        <v>110</v>
      </c>
      <c r="D78" s="85" t="s">
        <v>266</v>
      </c>
      <c r="E78" s="85" t="s">
        <v>267</v>
      </c>
      <c r="F78" s="87">
        <v>10</v>
      </c>
      <c r="G78" s="87">
        <v>5.5</v>
      </c>
      <c r="H78" s="33" t="s">
        <v>254</v>
      </c>
      <c r="I78" s="33" t="s">
        <v>255</v>
      </c>
      <c r="J78" s="33" t="s">
        <v>256</v>
      </c>
      <c r="K78" s="61"/>
      <c r="L78" s="61"/>
      <c r="O78">
        <v>3407.4</v>
      </c>
    </row>
    <row r="79" spans="1:22" ht="15.75">
      <c r="A79" s="15">
        <f t="shared" si="7"/>
        <v>11</v>
      </c>
      <c r="B79" s="85" t="s">
        <v>71</v>
      </c>
      <c r="C79" s="85">
        <v>63</v>
      </c>
      <c r="D79" s="85" t="s">
        <v>258</v>
      </c>
      <c r="E79" s="85" t="s">
        <v>268</v>
      </c>
      <c r="F79" s="85">
        <v>168</v>
      </c>
      <c r="G79" s="87">
        <v>5.5</v>
      </c>
      <c r="H79" s="33" t="s">
        <v>254</v>
      </c>
      <c r="I79" s="33" t="s">
        <v>255</v>
      </c>
      <c r="J79" s="33" t="s">
        <v>256</v>
      </c>
      <c r="K79" s="61"/>
      <c r="L79" s="61"/>
      <c r="O79">
        <v>2279.9</v>
      </c>
    </row>
    <row r="80" spans="1:22" ht="15.75">
      <c r="A80" s="83">
        <f t="shared" si="7"/>
        <v>12</v>
      </c>
      <c r="B80" s="85" t="s">
        <v>71</v>
      </c>
      <c r="C80" s="85">
        <v>63</v>
      </c>
      <c r="D80" s="85" t="s">
        <v>268</v>
      </c>
      <c r="E80" s="85" t="s">
        <v>269</v>
      </c>
      <c r="F80" s="85">
        <v>13</v>
      </c>
      <c r="G80" s="87">
        <v>5.5</v>
      </c>
      <c r="H80" s="33" t="s">
        <v>254</v>
      </c>
      <c r="I80" s="33" t="s">
        <v>255</v>
      </c>
      <c r="J80" s="33" t="s">
        <v>256</v>
      </c>
      <c r="K80" s="61"/>
      <c r="L80" s="61"/>
    </row>
    <row r="81" spans="1:12" ht="15.75">
      <c r="A81" s="83">
        <f t="shared" si="7"/>
        <v>13</v>
      </c>
      <c r="B81" s="85" t="s">
        <v>71</v>
      </c>
      <c r="C81" s="85">
        <v>63</v>
      </c>
      <c r="D81" s="85" t="s">
        <v>259</v>
      </c>
      <c r="E81" s="85" t="s">
        <v>270</v>
      </c>
      <c r="F81" s="85">
        <v>130</v>
      </c>
      <c r="G81" s="87">
        <v>5.5</v>
      </c>
      <c r="H81" s="33" t="s">
        <v>254</v>
      </c>
      <c r="I81" s="33" t="s">
        <v>255</v>
      </c>
      <c r="J81" s="33" t="s">
        <v>256</v>
      </c>
      <c r="K81" s="61"/>
      <c r="L81" s="61"/>
    </row>
    <row r="82" spans="1:12" ht="15.75">
      <c r="A82" s="83">
        <f t="shared" si="7"/>
        <v>14</v>
      </c>
      <c r="B82" s="85" t="s">
        <v>71</v>
      </c>
      <c r="C82" s="85">
        <v>75</v>
      </c>
      <c r="D82" s="85" t="s">
        <v>268</v>
      </c>
      <c r="E82" s="85" t="s">
        <v>270</v>
      </c>
      <c r="F82" s="85">
        <v>106</v>
      </c>
      <c r="G82" s="87">
        <v>5.5</v>
      </c>
      <c r="H82" s="33" t="s">
        <v>254</v>
      </c>
      <c r="I82" s="33" t="s">
        <v>255</v>
      </c>
      <c r="J82" s="33" t="s">
        <v>256</v>
      </c>
      <c r="K82" s="61"/>
      <c r="L82" s="61"/>
    </row>
    <row r="83" spans="1:12" ht="15.75">
      <c r="A83" s="83">
        <f t="shared" si="7"/>
        <v>15</v>
      </c>
      <c r="B83" s="85" t="s">
        <v>71</v>
      </c>
      <c r="C83" s="85">
        <v>75</v>
      </c>
      <c r="D83" s="85" t="s">
        <v>270</v>
      </c>
      <c r="E83" s="85" t="s">
        <v>271</v>
      </c>
      <c r="F83" s="85">
        <v>73</v>
      </c>
      <c r="G83" s="87">
        <v>5.5</v>
      </c>
      <c r="H83" s="33" t="s">
        <v>254</v>
      </c>
      <c r="I83" s="33" t="s">
        <v>255</v>
      </c>
      <c r="J83" s="33" t="s">
        <v>256</v>
      </c>
      <c r="K83" s="61"/>
      <c r="L83" s="61"/>
    </row>
    <row r="84" spans="1:12" ht="15.75">
      <c r="A84" s="83">
        <f t="shared" si="7"/>
        <v>16</v>
      </c>
      <c r="B84" s="85" t="s">
        <v>71</v>
      </c>
      <c r="C84" s="85">
        <v>75</v>
      </c>
      <c r="D84" s="85" t="s">
        <v>271</v>
      </c>
      <c r="E84" s="85" t="s">
        <v>272</v>
      </c>
      <c r="F84" s="85">
        <v>93</v>
      </c>
      <c r="G84" s="87">
        <v>5.5</v>
      </c>
      <c r="H84" s="33" t="s">
        <v>254</v>
      </c>
      <c r="I84" s="33" t="s">
        <v>255</v>
      </c>
      <c r="J84" s="33" t="s">
        <v>256</v>
      </c>
      <c r="K84" s="61"/>
      <c r="L84" s="61"/>
    </row>
    <row r="85" spans="1:12" ht="15.75">
      <c r="A85" s="83">
        <f t="shared" si="7"/>
        <v>17</v>
      </c>
      <c r="B85" s="85" t="s">
        <v>71</v>
      </c>
      <c r="C85" s="85">
        <v>75</v>
      </c>
      <c r="D85" s="85" t="s">
        <v>272</v>
      </c>
      <c r="E85" s="85" t="s">
        <v>266</v>
      </c>
      <c r="F85" s="85">
        <v>283</v>
      </c>
      <c r="G85" s="87">
        <v>5.5</v>
      </c>
      <c r="H85" s="33" t="s">
        <v>254</v>
      </c>
      <c r="I85" s="33" t="s">
        <v>255</v>
      </c>
      <c r="J85" s="33" t="s">
        <v>256</v>
      </c>
      <c r="K85" s="61"/>
      <c r="L85" s="61"/>
    </row>
    <row r="86" spans="1:12" ht="15.75">
      <c r="A86" s="83"/>
      <c r="B86" s="85"/>
      <c r="C86" s="88"/>
      <c r="D86" s="88"/>
      <c r="E86" s="88"/>
      <c r="F86" s="88"/>
      <c r="G86" s="88"/>
      <c r="H86" s="88"/>
      <c r="I86" s="88"/>
      <c r="J86" s="88"/>
      <c r="K86" s="88"/>
      <c r="L86" s="88"/>
    </row>
    <row r="87" spans="1:12">
      <c r="A87" s="238"/>
      <c r="B87" s="222"/>
      <c r="C87" s="239" t="s">
        <v>86</v>
      </c>
      <c r="D87" s="240"/>
      <c r="E87" s="240"/>
      <c r="F87" s="241"/>
      <c r="G87" s="239" t="s">
        <v>87</v>
      </c>
      <c r="H87" s="240"/>
      <c r="I87" s="241"/>
      <c r="J87" s="239" t="s">
        <v>39</v>
      </c>
      <c r="K87" s="240"/>
      <c r="L87" s="242"/>
    </row>
    <row r="88" spans="1:12">
      <c r="A88" s="230" t="s">
        <v>40</v>
      </c>
      <c r="B88" s="189"/>
      <c r="C88" s="234"/>
      <c r="D88" s="235"/>
      <c r="E88" s="235"/>
      <c r="F88" s="236"/>
      <c r="G88" s="234"/>
      <c r="H88" s="235"/>
      <c r="I88" s="236"/>
      <c r="J88" s="234"/>
      <c r="K88" s="235"/>
      <c r="L88" s="237"/>
    </row>
    <row r="89" spans="1:12">
      <c r="A89" s="230" t="s">
        <v>41</v>
      </c>
      <c r="B89" s="189"/>
      <c r="C89" s="234"/>
      <c r="D89" s="235"/>
      <c r="E89" s="235"/>
      <c r="F89" s="236"/>
      <c r="G89" s="234"/>
      <c r="H89" s="235"/>
      <c r="I89" s="236"/>
      <c r="J89" s="234"/>
      <c r="K89" s="235"/>
      <c r="L89" s="237"/>
    </row>
    <row r="90" spans="1:12">
      <c r="A90" s="230" t="s">
        <v>42</v>
      </c>
      <c r="B90" s="189"/>
      <c r="C90" s="234"/>
      <c r="D90" s="235"/>
      <c r="E90" s="235"/>
      <c r="F90" s="236"/>
      <c r="G90" s="234"/>
      <c r="H90" s="235"/>
      <c r="I90" s="236"/>
      <c r="J90" s="234"/>
      <c r="K90" s="235"/>
      <c r="L90" s="237"/>
    </row>
    <row r="91" spans="1:12">
      <c r="A91" s="245" t="s">
        <v>43</v>
      </c>
      <c r="B91" s="246"/>
      <c r="C91" s="250"/>
      <c r="D91" s="251"/>
      <c r="E91" s="251"/>
      <c r="F91" s="252"/>
      <c r="G91" s="250"/>
      <c r="H91" s="251"/>
      <c r="I91" s="252"/>
      <c r="J91" s="250"/>
      <c r="K91" s="251"/>
      <c r="L91" s="253"/>
    </row>
    <row r="94" spans="1:12">
      <c r="E94">
        <v>63</v>
      </c>
      <c r="F94">
        <v>75</v>
      </c>
      <c r="G94">
        <v>110</v>
      </c>
    </row>
    <row r="95" spans="1:12">
      <c r="E95">
        <f>+SUMIF($C$69:$C$85,E94,$F$69:$F$85)</f>
        <v>311</v>
      </c>
      <c r="F95">
        <f t="shared" ref="F95:G95" si="8">+SUMIF($C$69:$C$85,F94,$F$69:$F$85)</f>
        <v>555</v>
      </c>
      <c r="G95">
        <f t="shared" si="8"/>
        <v>1413.9</v>
      </c>
    </row>
  </sheetData>
  <mergeCells count="146">
    <mergeCell ref="N5:O5"/>
    <mergeCell ref="A6:B6"/>
    <mergeCell ref="N6:O6"/>
    <mergeCell ref="A7:B7"/>
    <mergeCell ref="N7:O7"/>
    <mergeCell ref="A8:B8"/>
    <mergeCell ref="N8:O8"/>
    <mergeCell ref="AA8:AB8"/>
    <mergeCell ref="AA4:AA7"/>
    <mergeCell ref="A1:A4"/>
    <mergeCell ref="A5:B5"/>
    <mergeCell ref="N9:Y9"/>
    <mergeCell ref="AA9:AB9"/>
    <mergeCell ref="AA10:AB10"/>
    <mergeCell ref="A11:L11"/>
    <mergeCell ref="N11:Y11"/>
    <mergeCell ref="AA11:AB11"/>
    <mergeCell ref="B12:F12"/>
    <mergeCell ref="H12:L12"/>
    <mergeCell ref="AA12:AL12"/>
    <mergeCell ref="A9:L9"/>
    <mergeCell ref="H13:J13"/>
    <mergeCell ref="U13:W13"/>
    <mergeCell ref="AA14:AL14"/>
    <mergeCell ref="AB15:AF15"/>
    <mergeCell ref="AH15:AL15"/>
    <mergeCell ref="AH16:AJ16"/>
    <mergeCell ref="B44:F44"/>
    <mergeCell ref="C45:F45"/>
    <mergeCell ref="G45:H45"/>
    <mergeCell ref="I45:L45"/>
    <mergeCell ref="E13:E14"/>
    <mergeCell ref="F13:F14"/>
    <mergeCell ref="G13:G14"/>
    <mergeCell ref="K13:K14"/>
    <mergeCell ref="L13:L14"/>
    <mergeCell ref="Y13:Y14"/>
    <mergeCell ref="AA16:AA17"/>
    <mergeCell ref="AB16:AB17"/>
    <mergeCell ref="AC16:AC17"/>
    <mergeCell ref="AD16:AD17"/>
    <mergeCell ref="AE16:AE17"/>
    <mergeCell ref="AF16:AF17"/>
    <mergeCell ref="AG16:AG17"/>
    <mergeCell ref="AK16:AK17"/>
    <mergeCell ref="P52:S52"/>
    <mergeCell ref="T52:U52"/>
    <mergeCell ref="V52:Y52"/>
    <mergeCell ref="N53:O53"/>
    <mergeCell ref="P53:S53"/>
    <mergeCell ref="T53:U53"/>
    <mergeCell ref="V53:Y53"/>
    <mergeCell ref="C46:F46"/>
    <mergeCell ref="G46:H46"/>
    <mergeCell ref="I46:L46"/>
    <mergeCell ref="C47:F47"/>
    <mergeCell ref="G47:H47"/>
    <mergeCell ref="I47:L47"/>
    <mergeCell ref="C48:F48"/>
    <mergeCell ref="G48:I48"/>
    <mergeCell ref="J48:L48"/>
    <mergeCell ref="AA59:AB59"/>
    <mergeCell ref="AC59:AF59"/>
    <mergeCell ref="AG59:AH59"/>
    <mergeCell ref="AI59:AL59"/>
    <mergeCell ref="N54:O54"/>
    <mergeCell ref="P54:S54"/>
    <mergeCell ref="T54:U54"/>
    <mergeCell ref="V54:Y54"/>
    <mergeCell ref="N55:O55"/>
    <mergeCell ref="P55:S55"/>
    <mergeCell ref="T55:V55"/>
    <mergeCell ref="W55:Y55"/>
    <mergeCell ref="AB56:AF56"/>
    <mergeCell ref="AA60:AB60"/>
    <mergeCell ref="AC60:AF60"/>
    <mergeCell ref="AG60:AI60"/>
    <mergeCell ref="AJ60:AL60"/>
    <mergeCell ref="A61:B61"/>
    <mergeCell ref="A62:B62"/>
    <mergeCell ref="A63:L63"/>
    <mergeCell ref="A65:L65"/>
    <mergeCell ref="P65:Q65"/>
    <mergeCell ref="H67:J67"/>
    <mergeCell ref="P68:Q68"/>
    <mergeCell ref="A87:B87"/>
    <mergeCell ref="C87:F87"/>
    <mergeCell ref="G87:I87"/>
    <mergeCell ref="J87:L87"/>
    <mergeCell ref="A88:B88"/>
    <mergeCell ref="C88:F88"/>
    <mergeCell ref="G88:I88"/>
    <mergeCell ref="J88:L88"/>
    <mergeCell ref="E67:E68"/>
    <mergeCell ref="F67:F68"/>
    <mergeCell ref="G67:G68"/>
    <mergeCell ref="K67:K68"/>
    <mergeCell ref="L67:L68"/>
    <mergeCell ref="A89:B89"/>
    <mergeCell ref="C89:F89"/>
    <mergeCell ref="G89:I89"/>
    <mergeCell ref="J89:L89"/>
    <mergeCell ref="A90:B90"/>
    <mergeCell ref="C90:F90"/>
    <mergeCell ref="G90:I90"/>
    <mergeCell ref="J90:L90"/>
    <mergeCell ref="A91:B91"/>
    <mergeCell ref="C91:F91"/>
    <mergeCell ref="G91:I91"/>
    <mergeCell ref="J91:L91"/>
    <mergeCell ref="A13:A14"/>
    <mergeCell ref="A55:A58"/>
    <mergeCell ref="A67:A68"/>
    <mergeCell ref="B13:B14"/>
    <mergeCell ref="B67:B68"/>
    <mergeCell ref="C13:C14"/>
    <mergeCell ref="C67:C68"/>
    <mergeCell ref="D13:D14"/>
    <mergeCell ref="D67:D68"/>
    <mergeCell ref="A60:B60"/>
    <mergeCell ref="A59:B59"/>
    <mergeCell ref="A48:B48"/>
    <mergeCell ref="AL16:AL17"/>
    <mergeCell ref="AB4:AI7"/>
    <mergeCell ref="O1:V4"/>
    <mergeCell ref="B1:I4"/>
    <mergeCell ref="B55:H58"/>
    <mergeCell ref="N1:N4"/>
    <mergeCell ref="N13:N14"/>
    <mergeCell ref="O13:O14"/>
    <mergeCell ref="P13:P14"/>
    <mergeCell ref="Q13:Q14"/>
    <mergeCell ref="R13:R14"/>
    <mergeCell ref="S13:S14"/>
    <mergeCell ref="T13:T14"/>
    <mergeCell ref="X13:X14"/>
    <mergeCell ref="AA57:AB57"/>
    <mergeCell ref="AC57:AF57"/>
    <mergeCell ref="AG57:AH57"/>
    <mergeCell ref="AI57:AL57"/>
    <mergeCell ref="AA58:AB58"/>
    <mergeCell ref="AC58:AF58"/>
    <mergeCell ref="AG58:AH58"/>
    <mergeCell ref="AI58:AL58"/>
    <mergeCell ref="O51:S51"/>
    <mergeCell ref="N52:O52"/>
  </mergeCells>
  <pageMargins left="0.7" right="0.7" top="0.75" bottom="0.75" header="0.3" footer="0.3"/>
  <pageSetup orientation="portrait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158"/>
  <sheetViews>
    <sheetView topLeftCell="I29" zoomScale="70" zoomScaleNormal="70" workbookViewId="0">
      <selection activeCell="I65" sqref="I65"/>
    </sheetView>
  </sheetViews>
  <sheetFormatPr defaultColWidth="9" defaultRowHeight="15"/>
  <cols>
    <col min="7" max="7" width="35.140625" customWidth="1"/>
    <col min="8" max="8" width="11.28515625" customWidth="1"/>
    <col min="9" max="9" width="11.42578125" customWidth="1"/>
    <col min="10" max="10" width="11.5703125" customWidth="1"/>
    <col min="11" max="11" width="19.5703125" customWidth="1"/>
    <col min="12" max="12" width="21.28515625" customWidth="1"/>
    <col min="20" max="20" width="35.140625" customWidth="1"/>
    <col min="23" max="23" width="11" customWidth="1"/>
    <col min="24" max="24" width="10.42578125" customWidth="1"/>
    <col min="25" max="25" width="14.7109375" customWidth="1"/>
    <col min="33" max="33" width="35.140625" customWidth="1"/>
    <col min="46" max="46" width="35.140625" customWidth="1"/>
    <col min="59" max="59" width="35.140625" customWidth="1"/>
  </cols>
  <sheetData>
    <row r="1" spans="1:64">
      <c r="A1" s="206"/>
      <c r="B1" s="211" t="s">
        <v>44</v>
      </c>
      <c r="C1" s="212"/>
      <c r="D1" s="212"/>
      <c r="E1" s="212"/>
      <c r="F1" s="212"/>
      <c r="G1" s="212"/>
      <c r="H1" s="212"/>
      <c r="I1" s="212"/>
      <c r="J1" s="20"/>
      <c r="K1" s="20"/>
      <c r="L1" s="21"/>
      <c r="N1" s="206"/>
      <c r="O1" s="211" t="s">
        <v>44</v>
      </c>
      <c r="P1" s="212"/>
      <c r="Q1" s="212"/>
      <c r="R1" s="212"/>
      <c r="S1" s="212"/>
      <c r="T1" s="212"/>
      <c r="U1" s="212"/>
      <c r="V1" s="212"/>
      <c r="W1" s="20"/>
      <c r="X1" s="20"/>
      <c r="Y1" s="21"/>
      <c r="AA1" s="206"/>
      <c r="AB1" s="211" t="s">
        <v>44</v>
      </c>
      <c r="AC1" s="212"/>
      <c r="AD1" s="212"/>
      <c r="AE1" s="212"/>
      <c r="AF1" s="212"/>
      <c r="AG1" s="212"/>
      <c r="AH1" s="212"/>
      <c r="AI1" s="212"/>
      <c r="AJ1" s="20"/>
      <c r="AK1" s="20"/>
      <c r="AL1" s="21"/>
      <c r="AN1" s="206"/>
      <c r="AO1" s="211" t="s">
        <v>44</v>
      </c>
      <c r="AP1" s="212"/>
      <c r="AQ1" s="212"/>
      <c r="AR1" s="212"/>
      <c r="AS1" s="212"/>
      <c r="AT1" s="212"/>
      <c r="AU1" s="212"/>
      <c r="AV1" s="212"/>
      <c r="AW1" s="20"/>
      <c r="AX1" s="20"/>
      <c r="AY1" s="21"/>
      <c r="BA1" s="206"/>
      <c r="BB1" s="211" t="s">
        <v>44</v>
      </c>
      <c r="BC1" s="212"/>
      <c r="BD1" s="212"/>
      <c r="BE1" s="212"/>
      <c r="BF1" s="212"/>
      <c r="BG1" s="212"/>
      <c r="BH1" s="212"/>
      <c r="BI1" s="212"/>
      <c r="BJ1" s="20"/>
      <c r="BK1" s="20"/>
      <c r="BL1" s="21"/>
    </row>
    <row r="2" spans="1:64">
      <c r="A2" s="207"/>
      <c r="B2" s="214"/>
      <c r="C2" s="215"/>
      <c r="D2" s="215"/>
      <c r="E2" s="215"/>
      <c r="F2" s="215"/>
      <c r="G2" s="215"/>
      <c r="H2" s="215"/>
      <c r="I2" s="215"/>
      <c r="L2" s="22"/>
      <c r="N2" s="207"/>
      <c r="O2" s="214"/>
      <c r="P2" s="215"/>
      <c r="Q2" s="215"/>
      <c r="R2" s="215"/>
      <c r="S2" s="215"/>
      <c r="T2" s="215"/>
      <c r="U2" s="215"/>
      <c r="V2" s="215"/>
      <c r="Y2" s="22"/>
      <c r="AA2" s="207"/>
      <c r="AB2" s="214"/>
      <c r="AC2" s="215"/>
      <c r="AD2" s="215"/>
      <c r="AE2" s="215"/>
      <c r="AF2" s="215"/>
      <c r="AG2" s="215"/>
      <c r="AH2" s="215"/>
      <c r="AI2" s="215"/>
      <c r="AL2" s="22"/>
      <c r="AN2" s="207"/>
      <c r="AO2" s="214"/>
      <c r="AP2" s="215"/>
      <c r="AQ2" s="215"/>
      <c r="AR2" s="215"/>
      <c r="AS2" s="215"/>
      <c r="AT2" s="215"/>
      <c r="AU2" s="215"/>
      <c r="AV2" s="215"/>
      <c r="AY2" s="22"/>
      <c r="BA2" s="207"/>
      <c r="BB2" s="214"/>
      <c r="BC2" s="215"/>
      <c r="BD2" s="215"/>
      <c r="BE2" s="215"/>
      <c r="BF2" s="215"/>
      <c r="BG2" s="215"/>
      <c r="BH2" s="215"/>
      <c r="BI2" s="215"/>
      <c r="BL2" s="22"/>
    </row>
    <row r="3" spans="1:64">
      <c r="A3" s="207"/>
      <c r="B3" s="214"/>
      <c r="C3" s="215"/>
      <c r="D3" s="215"/>
      <c r="E3" s="215"/>
      <c r="F3" s="215"/>
      <c r="G3" s="215"/>
      <c r="H3" s="215"/>
      <c r="I3" s="215"/>
      <c r="L3" s="22"/>
      <c r="N3" s="207"/>
      <c r="O3" s="214"/>
      <c r="P3" s="215"/>
      <c r="Q3" s="215"/>
      <c r="R3" s="215"/>
      <c r="S3" s="215"/>
      <c r="T3" s="215"/>
      <c r="U3" s="215"/>
      <c r="V3" s="215"/>
      <c r="Y3" s="22"/>
      <c r="AA3" s="207"/>
      <c r="AB3" s="214"/>
      <c r="AC3" s="215"/>
      <c r="AD3" s="215"/>
      <c r="AE3" s="215"/>
      <c r="AF3" s="215"/>
      <c r="AG3" s="215"/>
      <c r="AH3" s="215"/>
      <c r="AI3" s="215"/>
      <c r="AL3" s="22"/>
      <c r="AN3" s="207"/>
      <c r="AO3" s="214"/>
      <c r="AP3" s="215"/>
      <c r="AQ3" s="215"/>
      <c r="AR3" s="215"/>
      <c r="AS3" s="215"/>
      <c r="AT3" s="215"/>
      <c r="AU3" s="215"/>
      <c r="AV3" s="215"/>
      <c r="AY3" s="22"/>
      <c r="BA3" s="207"/>
      <c r="BB3" s="214"/>
      <c r="BC3" s="215"/>
      <c r="BD3" s="215"/>
      <c r="BE3" s="215"/>
      <c r="BF3" s="215"/>
      <c r="BG3" s="215"/>
      <c r="BH3" s="215"/>
      <c r="BI3" s="215"/>
      <c r="BL3" s="22"/>
    </row>
    <row r="4" spans="1:64">
      <c r="A4" s="207"/>
      <c r="B4" s="289"/>
      <c r="C4" s="290"/>
      <c r="D4" s="290"/>
      <c r="E4" s="290"/>
      <c r="F4" s="290"/>
      <c r="G4" s="290"/>
      <c r="H4" s="290"/>
      <c r="I4" s="290"/>
      <c r="L4" s="22"/>
      <c r="N4" s="207"/>
      <c r="O4" s="289"/>
      <c r="P4" s="290"/>
      <c r="Q4" s="290"/>
      <c r="R4" s="290"/>
      <c r="S4" s="290"/>
      <c r="T4" s="290"/>
      <c r="U4" s="290"/>
      <c r="V4" s="290"/>
      <c r="Y4" s="22"/>
      <c r="AA4" s="207"/>
      <c r="AB4" s="289"/>
      <c r="AC4" s="290"/>
      <c r="AD4" s="290"/>
      <c r="AE4" s="290"/>
      <c r="AF4" s="290"/>
      <c r="AG4" s="290"/>
      <c r="AH4" s="290"/>
      <c r="AI4" s="290"/>
      <c r="AL4" s="22"/>
      <c r="AN4" s="207"/>
      <c r="AO4" s="289"/>
      <c r="AP4" s="290"/>
      <c r="AQ4" s="290"/>
      <c r="AR4" s="290"/>
      <c r="AS4" s="290"/>
      <c r="AT4" s="290"/>
      <c r="AU4" s="290"/>
      <c r="AV4" s="290"/>
      <c r="AY4" s="22"/>
      <c r="BA4" s="207"/>
      <c r="BB4" s="289"/>
      <c r="BC4" s="290"/>
      <c r="BD4" s="290"/>
      <c r="BE4" s="290"/>
      <c r="BF4" s="290"/>
      <c r="BG4" s="290"/>
      <c r="BH4" s="290"/>
      <c r="BI4" s="290"/>
      <c r="BL4" s="22"/>
    </row>
    <row r="5" spans="1:64" ht="16.5">
      <c r="A5" s="223" t="s">
        <v>45</v>
      </c>
      <c r="B5" s="224"/>
      <c r="C5" s="7" t="s">
        <v>46</v>
      </c>
      <c r="D5" s="8"/>
      <c r="E5" s="8"/>
      <c r="F5" s="8"/>
      <c r="G5" s="8"/>
      <c r="H5" s="8"/>
      <c r="I5" s="8"/>
      <c r="J5" s="8"/>
      <c r="K5" s="8"/>
      <c r="L5" s="23"/>
      <c r="N5" s="223" t="s">
        <v>45</v>
      </c>
      <c r="O5" s="224"/>
      <c r="P5" s="7" t="s">
        <v>46</v>
      </c>
      <c r="Q5" s="8"/>
      <c r="R5" s="8"/>
      <c r="S5" s="8"/>
      <c r="T5" s="8"/>
      <c r="U5" s="8"/>
      <c r="V5" s="8"/>
      <c r="W5" s="8"/>
      <c r="X5" s="8"/>
      <c r="Y5" s="23"/>
      <c r="AA5" s="223" t="s">
        <v>45</v>
      </c>
      <c r="AB5" s="224"/>
      <c r="AC5" s="7" t="s">
        <v>46</v>
      </c>
      <c r="AD5" s="8"/>
      <c r="AE5" s="8"/>
      <c r="AF5" s="8"/>
      <c r="AG5" s="8"/>
      <c r="AH5" s="8"/>
      <c r="AI5" s="8"/>
      <c r="AJ5" s="8"/>
      <c r="AK5" s="8"/>
      <c r="AL5" s="23"/>
      <c r="AN5" s="223" t="s">
        <v>45</v>
      </c>
      <c r="AO5" s="224"/>
      <c r="AP5" s="7" t="s">
        <v>46</v>
      </c>
      <c r="AQ5" s="8"/>
      <c r="AR5" s="8"/>
      <c r="AS5" s="8"/>
      <c r="AT5" s="8"/>
      <c r="AU5" s="8"/>
      <c r="AV5" s="8"/>
      <c r="AW5" s="8"/>
      <c r="AX5" s="8"/>
      <c r="AY5" s="23"/>
      <c r="BA5" s="223" t="s">
        <v>45</v>
      </c>
      <c r="BB5" s="224"/>
      <c r="BC5" s="7" t="s">
        <v>46</v>
      </c>
      <c r="BD5" s="8"/>
      <c r="BE5" s="8"/>
      <c r="BF5" s="8"/>
      <c r="BG5" s="8"/>
      <c r="BH5" s="8"/>
      <c r="BI5" s="8"/>
      <c r="BJ5" s="8"/>
      <c r="BK5" s="8"/>
      <c r="BL5" s="23"/>
    </row>
    <row r="6" spans="1:64" ht="16.5">
      <c r="A6" s="223" t="s">
        <v>48</v>
      </c>
      <c r="B6" s="224"/>
      <c r="C6" s="7" t="s">
        <v>49</v>
      </c>
      <c r="D6" s="8"/>
      <c r="E6" s="8"/>
      <c r="F6" s="8"/>
      <c r="G6" s="8"/>
      <c r="H6" s="8"/>
      <c r="I6" s="8"/>
      <c r="J6" s="8"/>
      <c r="K6" s="8"/>
      <c r="L6" s="23"/>
      <c r="N6" s="223" t="s">
        <v>48</v>
      </c>
      <c r="O6" s="224"/>
      <c r="P6" s="7" t="s">
        <v>49</v>
      </c>
      <c r="Q6" s="8"/>
      <c r="R6" s="8"/>
      <c r="S6" s="8"/>
      <c r="T6" s="8"/>
      <c r="U6" s="8"/>
      <c r="V6" s="8"/>
      <c r="W6" s="8"/>
      <c r="X6" s="8"/>
      <c r="Y6" s="23"/>
      <c r="AA6" s="223" t="s">
        <v>48</v>
      </c>
      <c r="AB6" s="224"/>
      <c r="AC6" s="7" t="s">
        <v>49</v>
      </c>
      <c r="AD6" s="8"/>
      <c r="AE6" s="8"/>
      <c r="AF6" s="8"/>
      <c r="AG6" s="8"/>
      <c r="AH6" s="8"/>
      <c r="AI6" s="8"/>
      <c r="AJ6" s="8"/>
      <c r="AK6" s="8"/>
      <c r="AL6" s="23"/>
      <c r="AN6" s="223" t="s">
        <v>48</v>
      </c>
      <c r="AO6" s="224"/>
      <c r="AP6" s="7" t="s">
        <v>49</v>
      </c>
      <c r="AQ6" s="8"/>
      <c r="AR6" s="8"/>
      <c r="AS6" s="8"/>
      <c r="AT6" s="8"/>
      <c r="AU6" s="8"/>
      <c r="AV6" s="8"/>
      <c r="AW6" s="8"/>
      <c r="AX6" s="8"/>
      <c r="AY6" s="23"/>
      <c r="BA6" s="223" t="s">
        <v>48</v>
      </c>
      <c r="BB6" s="224"/>
      <c r="BC6" s="7" t="s">
        <v>49</v>
      </c>
      <c r="BD6" s="8"/>
      <c r="BE6" s="8"/>
      <c r="BF6" s="8"/>
      <c r="BG6" s="8"/>
      <c r="BH6" s="8"/>
      <c r="BI6" s="8"/>
      <c r="BJ6" s="8"/>
      <c r="BK6" s="8"/>
      <c r="BL6" s="23"/>
    </row>
    <row r="7" spans="1:64" ht="16.5">
      <c r="A7" s="225" t="s">
        <v>50</v>
      </c>
      <c r="B7" s="226"/>
      <c r="C7" s="7" t="s">
        <v>51</v>
      </c>
      <c r="D7" s="8"/>
      <c r="E7" s="8"/>
      <c r="F7" s="8"/>
      <c r="G7" s="8"/>
      <c r="H7" s="8"/>
      <c r="I7" s="8"/>
      <c r="J7" s="8"/>
      <c r="K7" s="8"/>
      <c r="L7" s="23"/>
      <c r="N7" s="225" t="s">
        <v>50</v>
      </c>
      <c r="O7" s="226"/>
      <c r="P7" s="7" t="s">
        <v>51</v>
      </c>
      <c r="Q7" s="8"/>
      <c r="R7" s="8"/>
      <c r="S7" s="8"/>
      <c r="T7" s="8"/>
      <c r="U7" s="8"/>
      <c r="V7" s="8"/>
      <c r="W7" s="8"/>
      <c r="X7" s="8"/>
      <c r="Y7" s="23"/>
      <c r="AA7" s="225" t="s">
        <v>50</v>
      </c>
      <c r="AB7" s="226"/>
      <c r="AC7" s="7" t="s">
        <v>51</v>
      </c>
      <c r="AD7" s="8"/>
      <c r="AE7" s="8"/>
      <c r="AF7" s="8"/>
      <c r="AG7" s="8"/>
      <c r="AH7" s="8"/>
      <c r="AI7" s="8"/>
      <c r="AJ7" s="8"/>
      <c r="AK7" s="8"/>
      <c r="AL7" s="23"/>
      <c r="AN7" s="225" t="s">
        <v>50</v>
      </c>
      <c r="AO7" s="226"/>
      <c r="AP7" s="7" t="s">
        <v>51</v>
      </c>
      <c r="AQ7" s="8"/>
      <c r="AR7" s="8"/>
      <c r="AS7" s="8"/>
      <c r="AT7" s="8"/>
      <c r="AU7" s="8"/>
      <c r="AV7" s="8"/>
      <c r="AW7" s="8"/>
      <c r="AX7" s="8"/>
      <c r="AY7" s="23"/>
      <c r="BA7" s="225" t="s">
        <v>50</v>
      </c>
      <c r="BB7" s="226"/>
      <c r="BC7" s="7" t="s">
        <v>51</v>
      </c>
      <c r="BD7" s="8"/>
      <c r="BE7" s="8"/>
      <c r="BF7" s="8"/>
      <c r="BG7" s="8"/>
      <c r="BH7" s="8"/>
      <c r="BI7" s="8"/>
      <c r="BJ7" s="8"/>
      <c r="BK7" s="8"/>
      <c r="BL7" s="23"/>
    </row>
    <row r="8" spans="1:64" ht="16.5">
      <c r="A8" s="223" t="s">
        <v>52</v>
      </c>
      <c r="B8" s="224"/>
      <c r="C8" s="7" t="s">
        <v>53</v>
      </c>
      <c r="D8" s="8"/>
      <c r="E8" s="8"/>
      <c r="F8" s="8"/>
      <c r="G8" s="8"/>
      <c r="H8" s="8"/>
      <c r="I8" s="8"/>
      <c r="J8" s="8"/>
      <c r="K8" s="8"/>
      <c r="L8" s="23"/>
      <c r="N8" s="223" t="s">
        <v>52</v>
      </c>
      <c r="O8" s="224"/>
      <c r="P8" s="7" t="s">
        <v>53</v>
      </c>
      <c r="Q8" s="8"/>
      <c r="R8" s="8"/>
      <c r="S8" s="8"/>
      <c r="T8" s="8"/>
      <c r="U8" s="8"/>
      <c r="V8" s="8"/>
      <c r="W8" s="8"/>
      <c r="X8" s="8"/>
      <c r="Y8" s="23"/>
      <c r="AA8" s="223" t="s">
        <v>52</v>
      </c>
      <c r="AB8" s="224"/>
      <c r="AC8" s="7" t="s">
        <v>53</v>
      </c>
      <c r="AD8" s="8"/>
      <c r="AE8" s="8"/>
      <c r="AF8" s="8"/>
      <c r="AG8" s="8"/>
      <c r="AH8" s="8"/>
      <c r="AI8" s="8"/>
      <c r="AJ8" s="8"/>
      <c r="AK8" s="8"/>
      <c r="AL8" s="23"/>
      <c r="AN8" s="223" t="s">
        <v>52</v>
      </c>
      <c r="AO8" s="224"/>
      <c r="AP8" s="7" t="s">
        <v>53</v>
      </c>
      <c r="AQ8" s="8"/>
      <c r="AR8" s="8"/>
      <c r="AS8" s="8"/>
      <c r="AT8" s="8"/>
      <c r="AU8" s="8"/>
      <c r="AV8" s="8"/>
      <c r="AW8" s="8"/>
      <c r="AX8" s="8"/>
      <c r="AY8" s="23"/>
      <c r="BA8" s="223" t="s">
        <v>52</v>
      </c>
      <c r="BB8" s="224"/>
      <c r="BC8" s="7" t="s">
        <v>53</v>
      </c>
      <c r="BD8" s="8"/>
      <c r="BE8" s="8"/>
      <c r="BF8" s="8"/>
      <c r="BG8" s="8"/>
      <c r="BH8" s="8"/>
      <c r="BI8" s="8"/>
      <c r="BJ8" s="8"/>
      <c r="BK8" s="8"/>
      <c r="BL8" s="23"/>
    </row>
    <row r="9" spans="1:64" ht="15.75">
      <c r="A9" s="227" t="s">
        <v>890</v>
      </c>
      <c r="B9" s="228"/>
      <c r="C9" s="228"/>
      <c r="D9" s="228"/>
      <c r="E9" s="228"/>
      <c r="F9" s="228"/>
      <c r="G9" s="228"/>
      <c r="H9" s="228"/>
      <c r="I9" s="228"/>
      <c r="J9" s="228"/>
      <c r="K9" s="228"/>
      <c r="L9" s="229"/>
      <c r="N9" s="227" t="s">
        <v>890</v>
      </c>
      <c r="O9" s="228"/>
      <c r="P9" s="228"/>
      <c r="Q9" s="228"/>
      <c r="R9" s="228"/>
      <c r="S9" s="228"/>
      <c r="T9" s="228"/>
      <c r="U9" s="228"/>
      <c r="V9" s="228"/>
      <c r="W9" s="228"/>
      <c r="X9" s="228"/>
      <c r="Y9" s="229"/>
      <c r="AA9" s="227" t="s">
        <v>890</v>
      </c>
      <c r="AB9" s="228"/>
      <c r="AC9" s="228"/>
      <c r="AD9" s="228"/>
      <c r="AE9" s="228"/>
      <c r="AF9" s="228"/>
      <c r="AG9" s="228"/>
      <c r="AH9" s="228"/>
      <c r="AI9" s="228"/>
      <c r="AJ9" s="228"/>
      <c r="AK9" s="228"/>
      <c r="AL9" s="229"/>
      <c r="AN9" s="227" t="s">
        <v>890</v>
      </c>
      <c r="AO9" s="228"/>
      <c r="AP9" s="228"/>
      <c r="AQ9" s="228"/>
      <c r="AR9" s="228"/>
      <c r="AS9" s="228"/>
      <c r="AT9" s="228"/>
      <c r="AU9" s="228"/>
      <c r="AV9" s="228"/>
      <c r="AW9" s="228"/>
      <c r="AX9" s="228"/>
      <c r="AY9" s="229"/>
      <c r="BA9" s="227" t="s">
        <v>890</v>
      </c>
      <c r="BB9" s="228"/>
      <c r="BC9" s="228"/>
      <c r="BD9" s="228"/>
      <c r="BE9" s="228"/>
      <c r="BF9" s="228"/>
      <c r="BG9" s="228"/>
      <c r="BH9" s="228"/>
      <c r="BI9" s="228"/>
      <c r="BJ9" s="228"/>
      <c r="BK9" s="228"/>
      <c r="BL9" s="229"/>
    </row>
    <row r="10" spans="1:64" ht="15.75">
      <c r="A10" s="11" t="s">
        <v>55</v>
      </c>
      <c r="C10" s="12"/>
      <c r="D10" s="12"/>
      <c r="E10" s="12"/>
      <c r="F10" s="12"/>
      <c r="G10" s="24" t="s">
        <v>56</v>
      </c>
      <c r="H10" s="25"/>
      <c r="I10" s="12"/>
      <c r="J10" s="12"/>
      <c r="K10" s="12"/>
      <c r="L10" s="26"/>
      <c r="N10" s="11" t="s">
        <v>55</v>
      </c>
      <c r="P10" s="12"/>
      <c r="Q10" s="12"/>
      <c r="R10" s="12"/>
      <c r="S10" s="12"/>
      <c r="T10" s="24" t="s">
        <v>56</v>
      </c>
      <c r="U10" s="25"/>
      <c r="V10" s="12"/>
      <c r="W10" s="12"/>
      <c r="X10" s="12"/>
      <c r="Y10" s="26"/>
      <c r="AA10" s="11" t="s">
        <v>55</v>
      </c>
      <c r="AC10" s="12"/>
      <c r="AD10" s="12"/>
      <c r="AE10" s="12"/>
      <c r="AF10" s="12"/>
      <c r="AG10" s="24" t="s">
        <v>56</v>
      </c>
      <c r="AH10" s="25"/>
      <c r="AI10" s="12"/>
      <c r="AJ10" s="12"/>
      <c r="AK10" s="12"/>
      <c r="AL10" s="26"/>
      <c r="AN10" s="11" t="s">
        <v>55</v>
      </c>
      <c r="AP10" s="12"/>
      <c r="AQ10" s="12"/>
      <c r="AR10" s="12"/>
      <c r="AS10" s="12"/>
      <c r="AT10" s="24" t="s">
        <v>56</v>
      </c>
      <c r="AU10" s="25"/>
      <c r="AV10" s="12"/>
      <c r="AW10" s="12"/>
      <c r="AX10" s="12"/>
      <c r="AY10" s="26"/>
      <c r="BA10" s="11" t="s">
        <v>55</v>
      </c>
      <c r="BC10" s="12"/>
      <c r="BD10" s="12"/>
      <c r="BE10" s="12"/>
      <c r="BF10" s="12"/>
      <c r="BG10" s="24" t="s">
        <v>56</v>
      </c>
      <c r="BH10" s="25"/>
      <c r="BI10" s="12"/>
      <c r="BJ10" s="12"/>
      <c r="BK10" s="12"/>
      <c r="BL10" s="26"/>
    </row>
    <row r="11" spans="1:64">
      <c r="A11" s="217"/>
      <c r="B11" s="218"/>
      <c r="C11" s="218"/>
      <c r="D11" s="218"/>
      <c r="E11" s="218"/>
      <c r="F11" s="218"/>
      <c r="G11" s="218"/>
      <c r="H11" s="218"/>
      <c r="I11" s="218"/>
      <c r="J11" s="218"/>
      <c r="K11" s="218"/>
      <c r="L11" s="219"/>
      <c r="N11" s="217"/>
      <c r="O11" s="218"/>
      <c r="P11" s="218"/>
      <c r="Q11" s="218"/>
      <c r="R11" s="218"/>
      <c r="S11" s="218"/>
      <c r="T11" s="218"/>
      <c r="U11" s="218"/>
      <c r="V11" s="218"/>
      <c r="W11" s="218"/>
      <c r="X11" s="218"/>
      <c r="Y11" s="219"/>
      <c r="AA11" s="217"/>
      <c r="AB11" s="218"/>
      <c r="AC11" s="218"/>
      <c r="AD11" s="218"/>
      <c r="AE11" s="218"/>
      <c r="AF11" s="218"/>
      <c r="AG11" s="218"/>
      <c r="AH11" s="218"/>
      <c r="AI11" s="218"/>
      <c r="AJ11" s="218"/>
      <c r="AK11" s="218"/>
      <c r="AL11" s="219"/>
      <c r="AN11" s="217"/>
      <c r="AO11" s="218"/>
      <c r="AP11" s="218"/>
      <c r="AQ11" s="218"/>
      <c r="AR11" s="218"/>
      <c r="AS11" s="218"/>
      <c r="AT11" s="218"/>
      <c r="AU11" s="218"/>
      <c r="AV11" s="218"/>
      <c r="AW11" s="218"/>
      <c r="AX11" s="218"/>
      <c r="AY11" s="219"/>
      <c r="BA11" s="217"/>
      <c r="BB11" s="218"/>
      <c r="BC11" s="218"/>
      <c r="BD11" s="218"/>
      <c r="BE11" s="218"/>
      <c r="BF11" s="218"/>
      <c r="BG11" s="218"/>
      <c r="BH11" s="218"/>
      <c r="BI11" s="218"/>
      <c r="BJ11" s="218"/>
      <c r="BK11" s="218"/>
      <c r="BL11" s="219"/>
    </row>
    <row r="12" spans="1:64" ht="15.75">
      <c r="A12" s="15" t="s">
        <v>103</v>
      </c>
      <c r="B12" s="355"/>
      <c r="C12" s="356"/>
      <c r="D12" s="356"/>
      <c r="E12" s="356"/>
      <c r="F12" s="357"/>
      <c r="G12" s="60" t="s">
        <v>542</v>
      </c>
      <c r="H12" s="356"/>
      <c r="I12" s="356"/>
      <c r="J12" s="356"/>
      <c r="K12" s="356"/>
      <c r="L12" s="358"/>
      <c r="N12" s="15" t="s">
        <v>103</v>
      </c>
      <c r="O12" s="355"/>
      <c r="P12" s="356"/>
      <c r="Q12" s="356"/>
      <c r="R12" s="356"/>
      <c r="S12" s="357"/>
      <c r="T12" s="60" t="s">
        <v>542</v>
      </c>
      <c r="U12" s="356"/>
      <c r="V12" s="356"/>
      <c r="W12" s="356"/>
      <c r="X12" s="356"/>
      <c r="Y12" s="358"/>
      <c r="AA12" s="15" t="s">
        <v>103</v>
      </c>
      <c r="AB12" s="355"/>
      <c r="AC12" s="356"/>
      <c r="AD12" s="356"/>
      <c r="AE12" s="356"/>
      <c r="AF12" s="357"/>
      <c r="AG12" s="60" t="s">
        <v>542</v>
      </c>
      <c r="AH12" s="356"/>
      <c r="AI12" s="356"/>
      <c r="AJ12" s="356"/>
      <c r="AK12" s="356"/>
      <c r="AL12" s="358"/>
      <c r="AN12" s="15" t="s">
        <v>103</v>
      </c>
      <c r="AO12" s="355"/>
      <c r="AP12" s="356"/>
      <c r="AQ12" s="356"/>
      <c r="AR12" s="356"/>
      <c r="AS12" s="357"/>
      <c r="AT12" s="60" t="s">
        <v>542</v>
      </c>
      <c r="AU12" s="356"/>
      <c r="AV12" s="356"/>
      <c r="AW12" s="356"/>
      <c r="AX12" s="356"/>
      <c r="AY12" s="358"/>
      <c r="BA12" s="15" t="s">
        <v>103</v>
      </c>
      <c r="BB12" s="355"/>
      <c r="BC12" s="356"/>
      <c r="BD12" s="356"/>
      <c r="BE12" s="356"/>
      <c r="BF12" s="357"/>
      <c r="BG12" s="60" t="s">
        <v>542</v>
      </c>
      <c r="BH12" s="356"/>
      <c r="BI12" s="356"/>
      <c r="BJ12" s="356"/>
      <c r="BK12" s="356"/>
      <c r="BL12" s="358"/>
    </row>
    <row r="13" spans="1:64">
      <c r="A13" s="329" t="s">
        <v>59</v>
      </c>
      <c r="B13" s="209" t="s">
        <v>60</v>
      </c>
      <c r="C13" s="209" t="s">
        <v>659</v>
      </c>
      <c r="D13" s="209" t="s">
        <v>62</v>
      </c>
      <c r="E13" s="209" t="s">
        <v>63</v>
      </c>
      <c r="F13" s="209" t="s">
        <v>64</v>
      </c>
      <c r="G13" s="209" t="s">
        <v>65</v>
      </c>
      <c r="H13" s="342" t="s">
        <v>66</v>
      </c>
      <c r="I13" s="343"/>
      <c r="J13" s="344"/>
      <c r="K13" s="209" t="s">
        <v>30</v>
      </c>
      <c r="L13" s="328" t="s">
        <v>67</v>
      </c>
      <c r="N13" s="329" t="s">
        <v>59</v>
      </c>
      <c r="O13" s="209" t="s">
        <v>60</v>
      </c>
      <c r="P13" s="209" t="s">
        <v>659</v>
      </c>
      <c r="Q13" s="209" t="s">
        <v>62</v>
      </c>
      <c r="R13" s="209" t="s">
        <v>63</v>
      </c>
      <c r="S13" s="209" t="s">
        <v>64</v>
      </c>
      <c r="T13" s="209" t="s">
        <v>65</v>
      </c>
      <c r="U13" s="342" t="s">
        <v>66</v>
      </c>
      <c r="V13" s="343"/>
      <c r="W13" s="344"/>
      <c r="X13" s="209" t="s">
        <v>30</v>
      </c>
      <c r="Y13" s="328" t="s">
        <v>67</v>
      </c>
      <c r="AA13" s="329" t="s">
        <v>59</v>
      </c>
      <c r="AB13" s="209" t="s">
        <v>60</v>
      </c>
      <c r="AC13" s="209" t="s">
        <v>659</v>
      </c>
      <c r="AD13" s="209" t="s">
        <v>62</v>
      </c>
      <c r="AE13" s="209" t="s">
        <v>63</v>
      </c>
      <c r="AF13" s="209" t="s">
        <v>64</v>
      </c>
      <c r="AG13" s="209" t="s">
        <v>65</v>
      </c>
      <c r="AH13" s="342" t="s">
        <v>66</v>
      </c>
      <c r="AI13" s="343"/>
      <c r="AJ13" s="344"/>
      <c r="AK13" s="209" t="s">
        <v>30</v>
      </c>
      <c r="AL13" s="328" t="s">
        <v>67</v>
      </c>
      <c r="AN13" s="329" t="s">
        <v>59</v>
      </c>
      <c r="AO13" s="209" t="s">
        <v>60</v>
      </c>
      <c r="AP13" s="209" t="s">
        <v>659</v>
      </c>
      <c r="AQ13" s="209" t="s">
        <v>62</v>
      </c>
      <c r="AR13" s="209" t="s">
        <v>63</v>
      </c>
      <c r="AS13" s="209" t="s">
        <v>64</v>
      </c>
      <c r="AT13" s="209" t="s">
        <v>65</v>
      </c>
      <c r="AU13" s="342" t="s">
        <v>66</v>
      </c>
      <c r="AV13" s="343"/>
      <c r="AW13" s="344"/>
      <c r="AX13" s="209" t="s">
        <v>30</v>
      </c>
      <c r="AY13" s="328" t="s">
        <v>67</v>
      </c>
      <c r="BA13" s="329" t="s">
        <v>59</v>
      </c>
      <c r="BB13" s="209" t="s">
        <v>60</v>
      </c>
      <c r="BC13" s="209" t="s">
        <v>659</v>
      </c>
      <c r="BD13" s="209" t="s">
        <v>62</v>
      </c>
      <c r="BE13" s="209" t="s">
        <v>63</v>
      </c>
      <c r="BF13" s="209" t="s">
        <v>64</v>
      </c>
      <c r="BG13" s="209" t="s">
        <v>65</v>
      </c>
      <c r="BH13" s="342" t="s">
        <v>66</v>
      </c>
      <c r="BI13" s="343"/>
      <c r="BJ13" s="344"/>
      <c r="BK13" s="209" t="s">
        <v>30</v>
      </c>
      <c r="BL13" s="328" t="s">
        <v>67</v>
      </c>
    </row>
    <row r="14" spans="1:64" ht="60">
      <c r="A14" s="329"/>
      <c r="B14" s="209"/>
      <c r="C14" s="209"/>
      <c r="D14" s="209"/>
      <c r="E14" s="209"/>
      <c r="F14" s="209"/>
      <c r="G14" s="209"/>
      <c r="H14" s="16" t="s">
        <v>68</v>
      </c>
      <c r="I14" s="62" t="s">
        <v>69</v>
      </c>
      <c r="J14" s="16" t="s">
        <v>70</v>
      </c>
      <c r="K14" s="209"/>
      <c r="L14" s="328"/>
      <c r="N14" s="329"/>
      <c r="O14" s="209"/>
      <c r="P14" s="209"/>
      <c r="Q14" s="209"/>
      <c r="R14" s="209"/>
      <c r="S14" s="209"/>
      <c r="T14" s="209"/>
      <c r="U14" s="16" t="s">
        <v>68</v>
      </c>
      <c r="V14" s="62" t="s">
        <v>69</v>
      </c>
      <c r="W14" s="16" t="s">
        <v>70</v>
      </c>
      <c r="X14" s="209"/>
      <c r="Y14" s="328"/>
      <c r="AA14" s="359"/>
      <c r="AB14" s="292"/>
      <c r="AC14" s="292"/>
      <c r="AD14" s="292"/>
      <c r="AE14" s="292"/>
      <c r="AF14" s="292"/>
      <c r="AG14" s="292"/>
      <c r="AH14" s="17" t="s">
        <v>68</v>
      </c>
      <c r="AI14" s="28" t="s">
        <v>69</v>
      </c>
      <c r="AJ14" s="17" t="s">
        <v>70</v>
      </c>
      <c r="AK14" s="292"/>
      <c r="AL14" s="360"/>
      <c r="AN14" s="359"/>
      <c r="AO14" s="292"/>
      <c r="AP14" s="292"/>
      <c r="AQ14" s="292"/>
      <c r="AR14" s="292"/>
      <c r="AS14" s="292"/>
      <c r="AT14" s="292"/>
      <c r="AU14" s="17" t="s">
        <v>68</v>
      </c>
      <c r="AV14" s="28" t="s">
        <v>69</v>
      </c>
      <c r="AW14" s="17" t="s">
        <v>70</v>
      </c>
      <c r="AX14" s="292"/>
      <c r="AY14" s="360"/>
      <c r="BA14" s="359"/>
      <c r="BB14" s="292"/>
      <c r="BC14" s="292"/>
      <c r="BD14" s="292"/>
      <c r="BE14" s="292"/>
      <c r="BF14" s="292"/>
      <c r="BG14" s="292"/>
      <c r="BH14" s="17" t="s">
        <v>68</v>
      </c>
      <c r="BI14" s="28" t="s">
        <v>69</v>
      </c>
      <c r="BJ14" s="17" t="s">
        <v>70</v>
      </c>
      <c r="BK14" s="292"/>
      <c r="BL14" s="360"/>
    </row>
    <row r="15" spans="1:64">
      <c r="A15" s="61">
        <v>1</v>
      </c>
      <c r="B15" s="29" t="s">
        <v>71</v>
      </c>
      <c r="C15" s="29">
        <v>160</v>
      </c>
      <c r="D15" s="29" t="s">
        <v>229</v>
      </c>
      <c r="E15" s="29" t="s">
        <v>785</v>
      </c>
      <c r="F15" s="29">
        <f>124+7</f>
        <v>131</v>
      </c>
      <c r="G15" s="29" t="s">
        <v>891</v>
      </c>
      <c r="H15" s="29">
        <v>3</v>
      </c>
      <c r="I15" s="29">
        <v>1</v>
      </c>
      <c r="J15" s="29">
        <v>4</v>
      </c>
      <c r="K15" s="29" t="s">
        <v>114</v>
      </c>
      <c r="L15" s="61"/>
      <c r="N15" s="55">
        <v>1</v>
      </c>
      <c r="O15" s="55" t="s">
        <v>71</v>
      </c>
      <c r="P15" s="55">
        <v>110</v>
      </c>
      <c r="Q15" s="55" t="s">
        <v>892</v>
      </c>
      <c r="R15" s="55" t="s">
        <v>307</v>
      </c>
      <c r="S15" s="55">
        <v>7</v>
      </c>
      <c r="T15" s="55" t="s">
        <v>106</v>
      </c>
      <c r="U15" s="55">
        <v>3.3</v>
      </c>
      <c r="V15" s="55">
        <v>1</v>
      </c>
      <c r="W15" s="55">
        <v>4.3</v>
      </c>
      <c r="X15" s="55" t="s">
        <v>114</v>
      </c>
      <c r="Y15" s="55"/>
      <c r="AA15" s="61">
        <v>1</v>
      </c>
      <c r="AB15" s="29" t="s">
        <v>71</v>
      </c>
      <c r="AC15" s="61">
        <v>110</v>
      </c>
      <c r="AD15" s="29" t="s">
        <v>488</v>
      </c>
      <c r="AE15" s="29" t="s">
        <v>495</v>
      </c>
      <c r="AF15" s="29">
        <v>110.4</v>
      </c>
      <c r="AG15" s="55" t="s">
        <v>106</v>
      </c>
      <c r="AH15" s="29">
        <v>3.5</v>
      </c>
      <c r="AI15" s="29">
        <v>1</v>
      </c>
      <c r="AJ15" s="29">
        <v>4.5</v>
      </c>
      <c r="AK15" s="29" t="s">
        <v>114</v>
      </c>
      <c r="AL15" s="61"/>
      <c r="AN15" s="29">
        <v>1</v>
      </c>
      <c r="AO15" s="29" t="s">
        <v>71</v>
      </c>
      <c r="AP15" s="29">
        <v>90</v>
      </c>
      <c r="AQ15" s="29" t="s">
        <v>893</v>
      </c>
      <c r="AR15" s="29" t="s">
        <v>426</v>
      </c>
      <c r="AS15" s="55">
        <v>234</v>
      </c>
      <c r="AT15" s="55" t="s">
        <v>285</v>
      </c>
      <c r="AU15" s="55">
        <v>3</v>
      </c>
      <c r="AV15" s="29">
        <v>1</v>
      </c>
      <c r="AW15" s="29">
        <v>4</v>
      </c>
      <c r="AX15" s="29" t="s">
        <v>114</v>
      </c>
      <c r="AY15" s="29"/>
      <c r="BA15" s="29">
        <v>1</v>
      </c>
      <c r="BB15" s="29" t="s">
        <v>71</v>
      </c>
      <c r="BC15" s="29"/>
      <c r="BD15" s="29" t="s">
        <v>894</v>
      </c>
      <c r="BE15" s="29" t="s">
        <v>359</v>
      </c>
      <c r="BF15" s="29">
        <v>218.6</v>
      </c>
      <c r="BG15" s="29" t="s">
        <v>106</v>
      </c>
      <c r="BH15" s="29">
        <v>3.3</v>
      </c>
      <c r="BI15" s="29">
        <v>1</v>
      </c>
      <c r="BJ15" s="29">
        <v>4.3</v>
      </c>
      <c r="BK15" s="29" t="s">
        <v>114</v>
      </c>
      <c r="BL15" s="29"/>
    </row>
    <row r="16" spans="1:64">
      <c r="A16" s="61">
        <f>1+A15</f>
        <v>2</v>
      </c>
      <c r="B16" s="29" t="s">
        <v>71</v>
      </c>
      <c r="C16" s="29">
        <v>160</v>
      </c>
      <c r="D16" s="29" t="s">
        <v>229</v>
      </c>
      <c r="E16" s="29" t="s">
        <v>235</v>
      </c>
      <c r="F16" s="29">
        <v>11.7</v>
      </c>
      <c r="G16" s="29" t="s">
        <v>891</v>
      </c>
      <c r="H16" s="29">
        <v>3</v>
      </c>
      <c r="I16" s="29">
        <v>1</v>
      </c>
      <c r="J16" s="29">
        <v>4</v>
      </c>
      <c r="K16" s="29" t="s">
        <v>114</v>
      </c>
      <c r="L16" s="61"/>
      <c r="N16" s="55">
        <f>1+N15</f>
        <v>2</v>
      </c>
      <c r="O16" s="55" t="s">
        <v>71</v>
      </c>
      <c r="P16" s="55">
        <v>110</v>
      </c>
      <c r="Q16" s="55" t="s">
        <v>892</v>
      </c>
      <c r="R16" s="55" t="s">
        <v>307</v>
      </c>
      <c r="S16" s="55">
        <v>354.6</v>
      </c>
      <c r="T16" s="55" t="s">
        <v>106</v>
      </c>
      <c r="U16" s="55">
        <v>3.3</v>
      </c>
      <c r="V16" s="55">
        <v>1</v>
      </c>
      <c r="W16" s="55">
        <v>4.3</v>
      </c>
      <c r="X16" s="55" t="s">
        <v>114</v>
      </c>
      <c r="Y16" s="55"/>
      <c r="AA16" s="61">
        <f>1+AA15</f>
        <v>2</v>
      </c>
      <c r="AB16" s="29" t="s">
        <v>71</v>
      </c>
      <c r="AC16" s="61">
        <v>110</v>
      </c>
      <c r="AD16" s="29" t="s">
        <v>495</v>
      </c>
      <c r="AE16" s="29" t="s">
        <v>895</v>
      </c>
      <c r="AF16" s="29">
        <v>14</v>
      </c>
      <c r="AG16" s="55" t="s">
        <v>106</v>
      </c>
      <c r="AH16" s="29">
        <v>3.5</v>
      </c>
      <c r="AI16" s="29">
        <v>1</v>
      </c>
      <c r="AJ16" s="29">
        <v>4.5</v>
      </c>
      <c r="AK16" s="29" t="s">
        <v>114</v>
      </c>
      <c r="AL16" s="61"/>
      <c r="AN16" s="29">
        <f>1+AN15</f>
        <v>2</v>
      </c>
      <c r="AO16" s="29" t="s">
        <v>71</v>
      </c>
      <c r="AP16" s="29">
        <v>90</v>
      </c>
      <c r="AQ16" s="29" t="s">
        <v>353</v>
      </c>
      <c r="AR16" s="29" t="s">
        <v>488</v>
      </c>
      <c r="AS16" s="55">
        <v>26.3</v>
      </c>
      <c r="AT16" s="55" t="s">
        <v>285</v>
      </c>
      <c r="AU16" s="55">
        <v>3</v>
      </c>
      <c r="AV16" s="29">
        <v>1</v>
      </c>
      <c r="AW16" s="29">
        <v>4</v>
      </c>
      <c r="AX16" s="29" t="s">
        <v>114</v>
      </c>
      <c r="AY16" s="29"/>
      <c r="BA16" s="29">
        <f>1+BA15</f>
        <v>2</v>
      </c>
      <c r="BB16" s="29" t="s">
        <v>71</v>
      </c>
      <c r="BC16" s="29"/>
      <c r="BD16" s="29" t="s">
        <v>894</v>
      </c>
      <c r="BE16" s="29" t="s">
        <v>359</v>
      </c>
      <c r="BF16" s="29">
        <v>101.4</v>
      </c>
      <c r="BG16" s="29" t="s">
        <v>106</v>
      </c>
      <c r="BH16" s="29">
        <v>3.3</v>
      </c>
      <c r="BI16" s="29">
        <v>1</v>
      </c>
      <c r="BJ16" s="29">
        <v>4.3</v>
      </c>
      <c r="BK16" s="29" t="s">
        <v>114</v>
      </c>
      <c r="BL16" s="29"/>
    </row>
    <row r="17" spans="1:64">
      <c r="A17" s="61">
        <f t="shared" ref="A17:A54" si="0">1+A16</f>
        <v>3</v>
      </c>
      <c r="B17" s="29" t="s">
        <v>71</v>
      </c>
      <c r="C17" s="29">
        <v>140</v>
      </c>
      <c r="D17" s="29" t="s">
        <v>365</v>
      </c>
      <c r="E17" s="29" t="s">
        <v>426</v>
      </c>
      <c r="F17" s="29">
        <v>488</v>
      </c>
      <c r="G17" s="29" t="s">
        <v>891</v>
      </c>
      <c r="H17" s="29">
        <v>3</v>
      </c>
      <c r="I17" s="29">
        <v>1</v>
      </c>
      <c r="J17" s="29">
        <v>4</v>
      </c>
      <c r="K17" s="29" t="s">
        <v>114</v>
      </c>
      <c r="L17" s="61"/>
      <c r="N17" s="55">
        <f t="shared" ref="N17:N65" si="1">1+N16</f>
        <v>3</v>
      </c>
      <c r="O17" s="55" t="s">
        <v>71</v>
      </c>
      <c r="P17" s="55">
        <v>63</v>
      </c>
      <c r="Q17" s="55" t="s">
        <v>896</v>
      </c>
      <c r="R17" s="55" t="s">
        <v>897</v>
      </c>
      <c r="S17" s="55">
        <v>102</v>
      </c>
      <c r="T17" s="55" t="s">
        <v>106</v>
      </c>
      <c r="U17" s="55">
        <v>3.3</v>
      </c>
      <c r="V17" s="55">
        <v>1</v>
      </c>
      <c r="W17" s="55">
        <v>4.3</v>
      </c>
      <c r="X17" s="55" t="s">
        <v>114</v>
      </c>
      <c r="Y17" s="55"/>
      <c r="AA17" s="61">
        <f t="shared" ref="AA17:AA66" si="2">1+AA16</f>
        <v>3</v>
      </c>
      <c r="AB17" s="29" t="s">
        <v>71</v>
      </c>
      <c r="AC17" s="61">
        <v>63</v>
      </c>
      <c r="AD17" s="29" t="s">
        <v>392</v>
      </c>
      <c r="AE17" s="29" t="s">
        <v>459</v>
      </c>
      <c r="AF17" s="55">
        <v>11.5</v>
      </c>
      <c r="AG17" s="55" t="s">
        <v>106</v>
      </c>
      <c r="AH17" s="29">
        <v>3.5</v>
      </c>
      <c r="AI17" s="29">
        <v>1</v>
      </c>
      <c r="AJ17" s="29">
        <v>4.5</v>
      </c>
      <c r="AK17" s="29" t="s">
        <v>114</v>
      </c>
      <c r="AL17" s="61"/>
      <c r="AN17" s="29">
        <f t="shared" ref="AN17:AN78" si="3">1+AN16</f>
        <v>3</v>
      </c>
      <c r="AO17" s="29" t="s">
        <v>71</v>
      </c>
      <c r="AP17" s="29">
        <v>90</v>
      </c>
      <c r="AQ17" s="29" t="s">
        <v>482</v>
      </c>
      <c r="AR17" s="29" t="s">
        <v>361</v>
      </c>
      <c r="AS17" s="55">
        <v>43</v>
      </c>
      <c r="AT17" s="55" t="s">
        <v>285</v>
      </c>
      <c r="AU17" s="55">
        <v>3</v>
      </c>
      <c r="AV17" s="29">
        <v>1</v>
      </c>
      <c r="AW17" s="29">
        <v>4</v>
      </c>
      <c r="AX17" s="29" t="s">
        <v>114</v>
      </c>
      <c r="AY17" s="29"/>
      <c r="BA17" s="29">
        <f t="shared" ref="BA17:BA65" si="4">1+BA16</f>
        <v>3</v>
      </c>
      <c r="BB17" s="29" t="s">
        <v>71</v>
      </c>
      <c r="BC17" s="29"/>
      <c r="BD17" s="29" t="s">
        <v>894</v>
      </c>
      <c r="BE17" s="29" t="s">
        <v>359</v>
      </c>
      <c r="BF17" s="29">
        <v>6</v>
      </c>
      <c r="BG17" s="29" t="s">
        <v>106</v>
      </c>
      <c r="BH17" s="29">
        <v>3.3</v>
      </c>
      <c r="BI17" s="29">
        <v>1</v>
      </c>
      <c r="BJ17" s="29">
        <v>4.3</v>
      </c>
      <c r="BK17" s="29" t="s">
        <v>114</v>
      </c>
      <c r="BL17" s="29"/>
    </row>
    <row r="18" spans="1:64">
      <c r="A18" s="61">
        <f t="shared" si="0"/>
        <v>4</v>
      </c>
      <c r="B18" s="29" t="s">
        <v>71</v>
      </c>
      <c r="C18" s="29">
        <v>125</v>
      </c>
      <c r="D18" s="29" t="s">
        <v>291</v>
      </c>
      <c r="E18" s="29" t="s">
        <v>307</v>
      </c>
      <c r="F18" s="29">
        <v>423</v>
      </c>
      <c r="G18" s="29" t="s">
        <v>891</v>
      </c>
      <c r="H18" s="29">
        <v>3</v>
      </c>
      <c r="I18" s="29">
        <v>1</v>
      </c>
      <c r="J18" s="29">
        <v>4</v>
      </c>
      <c r="K18" s="29" t="s">
        <v>114</v>
      </c>
      <c r="L18" s="61"/>
      <c r="N18" s="55">
        <f t="shared" si="1"/>
        <v>4</v>
      </c>
      <c r="O18" s="55" t="s">
        <v>71</v>
      </c>
      <c r="P18" s="55">
        <v>63</v>
      </c>
      <c r="Q18" s="55" t="s">
        <v>897</v>
      </c>
      <c r="R18" s="55" t="s">
        <v>898</v>
      </c>
      <c r="S18" s="55">
        <v>93</v>
      </c>
      <c r="T18" s="55" t="s">
        <v>106</v>
      </c>
      <c r="U18" s="55">
        <v>3.3</v>
      </c>
      <c r="V18" s="55">
        <v>1</v>
      </c>
      <c r="W18" s="55">
        <v>4.3</v>
      </c>
      <c r="X18" s="55" t="s">
        <v>114</v>
      </c>
      <c r="Y18" s="55"/>
      <c r="AA18" s="61">
        <f t="shared" si="2"/>
        <v>4</v>
      </c>
      <c r="AB18" s="29" t="s">
        <v>71</v>
      </c>
      <c r="AC18" s="61">
        <v>63</v>
      </c>
      <c r="AD18" s="29" t="s">
        <v>459</v>
      </c>
      <c r="AE18" s="29" t="s">
        <v>899</v>
      </c>
      <c r="AF18" s="55">
        <v>45</v>
      </c>
      <c r="AG18" s="55" t="s">
        <v>106</v>
      </c>
      <c r="AH18" s="29">
        <v>3.5</v>
      </c>
      <c r="AI18" s="29">
        <v>1</v>
      </c>
      <c r="AJ18" s="29">
        <v>4.5</v>
      </c>
      <c r="AK18" s="29" t="s">
        <v>114</v>
      </c>
      <c r="AL18" s="61"/>
      <c r="AN18" s="29">
        <f t="shared" si="3"/>
        <v>4</v>
      </c>
      <c r="AO18" s="29" t="s">
        <v>71</v>
      </c>
      <c r="AP18" s="29">
        <v>90</v>
      </c>
      <c r="AQ18" s="29" t="s">
        <v>361</v>
      </c>
      <c r="AR18" s="29" t="s">
        <v>302</v>
      </c>
      <c r="AS18" s="55">
        <v>44.6</v>
      </c>
      <c r="AT18" s="55" t="s">
        <v>285</v>
      </c>
      <c r="AU18" s="55">
        <v>3</v>
      </c>
      <c r="AV18" s="29">
        <v>1</v>
      </c>
      <c r="AW18" s="29">
        <v>4</v>
      </c>
      <c r="AX18" s="29" t="s">
        <v>114</v>
      </c>
      <c r="AY18" s="29"/>
      <c r="BA18" s="29">
        <f t="shared" si="4"/>
        <v>4</v>
      </c>
      <c r="BB18" s="29" t="s">
        <v>71</v>
      </c>
      <c r="BC18" s="29"/>
      <c r="BD18" s="29" t="s">
        <v>894</v>
      </c>
      <c r="BE18" s="29" t="s">
        <v>359</v>
      </c>
      <c r="BF18" s="29">
        <v>322.5</v>
      </c>
      <c r="BG18" s="29" t="s">
        <v>106</v>
      </c>
      <c r="BH18" s="29">
        <v>3.3</v>
      </c>
      <c r="BI18" s="29">
        <v>1</v>
      </c>
      <c r="BJ18" s="29">
        <v>4.3</v>
      </c>
      <c r="BK18" s="29" t="s">
        <v>114</v>
      </c>
      <c r="BL18" s="29"/>
    </row>
    <row r="19" spans="1:64">
      <c r="A19" s="61">
        <f t="shared" si="0"/>
        <v>5</v>
      </c>
      <c r="B19" s="29" t="s">
        <v>71</v>
      </c>
      <c r="C19" s="29">
        <v>125</v>
      </c>
      <c r="D19" s="29" t="s">
        <v>895</v>
      </c>
      <c r="E19" s="29" t="s">
        <v>494</v>
      </c>
      <c r="F19" s="29">
        <v>121.1</v>
      </c>
      <c r="G19" s="29" t="s">
        <v>891</v>
      </c>
      <c r="H19" s="29">
        <v>3</v>
      </c>
      <c r="I19" s="29">
        <v>1</v>
      </c>
      <c r="J19" s="29">
        <v>4</v>
      </c>
      <c r="K19" s="29" t="s">
        <v>114</v>
      </c>
      <c r="L19" s="61"/>
      <c r="N19" s="55">
        <f t="shared" si="1"/>
        <v>5</v>
      </c>
      <c r="O19" s="55" t="s">
        <v>71</v>
      </c>
      <c r="P19" s="55">
        <v>63</v>
      </c>
      <c r="Q19" s="55" t="s">
        <v>898</v>
      </c>
      <c r="R19" s="55" t="s">
        <v>900</v>
      </c>
      <c r="S19" s="55">
        <v>10</v>
      </c>
      <c r="T19" s="55" t="s">
        <v>106</v>
      </c>
      <c r="U19" s="55">
        <v>3.3</v>
      </c>
      <c r="V19" s="55">
        <v>1</v>
      </c>
      <c r="W19" s="55">
        <v>4.3</v>
      </c>
      <c r="X19" s="55" t="s">
        <v>114</v>
      </c>
      <c r="Y19" s="55"/>
      <c r="AA19" s="61">
        <f t="shared" si="2"/>
        <v>5</v>
      </c>
      <c r="AB19" s="29" t="s">
        <v>71</v>
      </c>
      <c r="AC19" s="61">
        <v>63</v>
      </c>
      <c r="AD19" s="29" t="s">
        <v>459</v>
      </c>
      <c r="AE19" s="29" t="s">
        <v>295</v>
      </c>
      <c r="AF19" s="55">
        <v>66</v>
      </c>
      <c r="AG19" s="55" t="s">
        <v>106</v>
      </c>
      <c r="AH19" s="29">
        <v>3.5</v>
      </c>
      <c r="AI19" s="29">
        <v>1</v>
      </c>
      <c r="AJ19" s="29">
        <v>4.5</v>
      </c>
      <c r="AK19" s="29" t="s">
        <v>114</v>
      </c>
      <c r="AL19" s="61"/>
      <c r="AN19" s="29">
        <f t="shared" si="3"/>
        <v>5</v>
      </c>
      <c r="AO19" s="29" t="s">
        <v>71</v>
      </c>
      <c r="AP19" s="29">
        <v>63</v>
      </c>
      <c r="AQ19" s="29" t="s">
        <v>901</v>
      </c>
      <c r="AR19" s="29" t="s">
        <v>902</v>
      </c>
      <c r="AS19" s="55">
        <v>54.5</v>
      </c>
      <c r="AT19" s="55" t="s">
        <v>285</v>
      </c>
      <c r="AU19" s="55">
        <v>3</v>
      </c>
      <c r="AV19" s="29">
        <v>1</v>
      </c>
      <c r="AW19" s="29">
        <v>4</v>
      </c>
      <c r="AX19" s="29" t="s">
        <v>114</v>
      </c>
      <c r="AY19" s="29"/>
      <c r="BA19" s="29">
        <f t="shared" si="4"/>
        <v>5</v>
      </c>
      <c r="BB19" s="29" t="s">
        <v>71</v>
      </c>
      <c r="BC19" s="29"/>
      <c r="BD19" s="29" t="s">
        <v>894</v>
      </c>
      <c r="BE19" s="29" t="s">
        <v>359</v>
      </c>
      <c r="BF19" s="29">
        <v>18.2</v>
      </c>
      <c r="BG19" s="29" t="s">
        <v>106</v>
      </c>
      <c r="BH19" s="29">
        <v>3.3</v>
      </c>
      <c r="BI19" s="29">
        <v>1</v>
      </c>
      <c r="BJ19" s="29">
        <v>4.3</v>
      </c>
      <c r="BK19" s="29" t="s">
        <v>114</v>
      </c>
      <c r="BL19" s="29"/>
    </row>
    <row r="20" spans="1:64">
      <c r="A20" s="61">
        <f t="shared" si="0"/>
        <v>6</v>
      </c>
      <c r="B20" s="29" t="s">
        <v>71</v>
      </c>
      <c r="C20" s="29">
        <v>63</v>
      </c>
      <c r="D20" s="29" t="s">
        <v>316</v>
      </c>
      <c r="E20" s="29" t="s">
        <v>317</v>
      </c>
      <c r="F20" s="55">
        <v>30</v>
      </c>
      <c r="G20" s="29" t="s">
        <v>891</v>
      </c>
      <c r="H20" s="29">
        <v>3</v>
      </c>
      <c r="I20" s="29">
        <v>1</v>
      </c>
      <c r="J20" s="29">
        <v>4</v>
      </c>
      <c r="K20" s="29" t="s">
        <v>114</v>
      </c>
      <c r="L20" s="61"/>
      <c r="N20" s="55">
        <f t="shared" si="1"/>
        <v>6</v>
      </c>
      <c r="O20" s="55" t="s">
        <v>71</v>
      </c>
      <c r="P20" s="55">
        <v>63</v>
      </c>
      <c r="Q20" s="55" t="s">
        <v>898</v>
      </c>
      <c r="R20" s="55" t="s">
        <v>903</v>
      </c>
      <c r="S20" s="55">
        <v>70</v>
      </c>
      <c r="T20" s="55" t="s">
        <v>106</v>
      </c>
      <c r="U20" s="55">
        <v>3.3</v>
      </c>
      <c r="V20" s="55">
        <v>1</v>
      </c>
      <c r="W20" s="55">
        <v>4.3</v>
      </c>
      <c r="X20" s="55" t="s">
        <v>114</v>
      </c>
      <c r="Y20" s="55"/>
      <c r="AA20" s="61">
        <f t="shared" si="2"/>
        <v>6</v>
      </c>
      <c r="AB20" s="29" t="s">
        <v>71</v>
      </c>
      <c r="AC20" s="61">
        <v>63</v>
      </c>
      <c r="AD20" s="29" t="s">
        <v>295</v>
      </c>
      <c r="AE20" s="29" t="s">
        <v>390</v>
      </c>
      <c r="AF20" s="55">
        <v>45.4</v>
      </c>
      <c r="AG20" s="55" t="s">
        <v>106</v>
      </c>
      <c r="AH20" s="29">
        <v>3.5</v>
      </c>
      <c r="AI20" s="29">
        <v>1</v>
      </c>
      <c r="AJ20" s="29">
        <v>4.5</v>
      </c>
      <c r="AK20" s="29" t="s">
        <v>114</v>
      </c>
      <c r="AL20" s="61"/>
      <c r="AN20" s="29">
        <f t="shared" si="3"/>
        <v>6</v>
      </c>
      <c r="AO20" s="29" t="s">
        <v>71</v>
      </c>
      <c r="AP20" s="29">
        <v>63</v>
      </c>
      <c r="AQ20" s="29" t="s">
        <v>902</v>
      </c>
      <c r="AR20" s="29" t="s">
        <v>904</v>
      </c>
      <c r="AS20" s="55">
        <v>33.700000000000003</v>
      </c>
      <c r="AT20" s="55" t="s">
        <v>285</v>
      </c>
      <c r="AU20" s="55">
        <v>3</v>
      </c>
      <c r="AV20" s="29">
        <v>1</v>
      </c>
      <c r="AW20" s="29">
        <v>4</v>
      </c>
      <c r="AX20" s="29" t="s">
        <v>114</v>
      </c>
      <c r="AY20" s="29"/>
      <c r="BA20" s="29">
        <f t="shared" si="4"/>
        <v>6</v>
      </c>
      <c r="BB20" s="29" t="s">
        <v>71</v>
      </c>
      <c r="BC20" s="29"/>
      <c r="BD20" s="29" t="s">
        <v>360</v>
      </c>
      <c r="BE20" s="29" t="s">
        <v>905</v>
      </c>
      <c r="BF20" s="55">
        <v>33.299999999999997</v>
      </c>
      <c r="BG20" s="29" t="s">
        <v>106</v>
      </c>
      <c r="BH20" s="29">
        <v>3.3</v>
      </c>
      <c r="BI20" s="29">
        <v>1</v>
      </c>
      <c r="BJ20" s="29">
        <v>4.3</v>
      </c>
      <c r="BK20" s="29" t="s">
        <v>114</v>
      </c>
      <c r="BL20" s="29"/>
    </row>
    <row r="21" spans="1:64">
      <c r="A21" s="61">
        <f t="shared" si="0"/>
        <v>7</v>
      </c>
      <c r="B21" s="29" t="s">
        <v>71</v>
      </c>
      <c r="C21" s="29">
        <v>63</v>
      </c>
      <c r="D21" s="29" t="s">
        <v>317</v>
      </c>
      <c r="E21" s="29" t="s">
        <v>534</v>
      </c>
      <c r="F21" s="55">
        <v>65.5</v>
      </c>
      <c r="G21" s="29" t="s">
        <v>891</v>
      </c>
      <c r="H21" s="29">
        <v>3</v>
      </c>
      <c r="I21" s="29">
        <v>1</v>
      </c>
      <c r="J21" s="29">
        <v>4</v>
      </c>
      <c r="K21" s="29" t="s">
        <v>114</v>
      </c>
      <c r="L21" s="61"/>
      <c r="N21" s="55">
        <f t="shared" si="1"/>
        <v>7</v>
      </c>
      <c r="O21" s="55" t="s">
        <v>71</v>
      </c>
      <c r="P21" s="55">
        <v>63</v>
      </c>
      <c r="Q21" s="55" t="s">
        <v>497</v>
      </c>
      <c r="R21" s="55" t="s">
        <v>906</v>
      </c>
      <c r="S21" s="55">
        <v>34</v>
      </c>
      <c r="T21" s="55" t="s">
        <v>106</v>
      </c>
      <c r="U21" s="55">
        <v>3.3</v>
      </c>
      <c r="V21" s="55">
        <v>1</v>
      </c>
      <c r="W21" s="55">
        <v>4.3</v>
      </c>
      <c r="X21" s="55" t="s">
        <v>114</v>
      </c>
      <c r="Y21" s="55"/>
      <c r="AA21" s="61">
        <f t="shared" si="2"/>
        <v>7</v>
      </c>
      <c r="AB21" s="29" t="s">
        <v>71</v>
      </c>
      <c r="AC21" s="61">
        <v>63</v>
      </c>
      <c r="AD21" s="29" t="s">
        <v>295</v>
      </c>
      <c r="AE21" s="29" t="s">
        <v>449</v>
      </c>
      <c r="AF21" s="55">
        <v>133</v>
      </c>
      <c r="AG21" s="55" t="s">
        <v>106</v>
      </c>
      <c r="AH21" s="29">
        <v>3.5</v>
      </c>
      <c r="AI21" s="29">
        <v>1</v>
      </c>
      <c r="AJ21" s="29">
        <v>4.5</v>
      </c>
      <c r="AK21" s="29" t="s">
        <v>114</v>
      </c>
      <c r="AL21" s="61"/>
      <c r="AN21" s="29">
        <f t="shared" si="3"/>
        <v>7</v>
      </c>
      <c r="AO21" s="29" t="s">
        <v>71</v>
      </c>
      <c r="AP21" s="29">
        <v>63</v>
      </c>
      <c r="AQ21" s="55" t="s">
        <v>907</v>
      </c>
      <c r="AR21" s="55" t="s">
        <v>908</v>
      </c>
      <c r="AS21" s="55">
        <v>86.4</v>
      </c>
      <c r="AT21" s="55" t="s">
        <v>285</v>
      </c>
      <c r="AU21" s="55">
        <v>3</v>
      </c>
      <c r="AV21" s="29">
        <v>1</v>
      </c>
      <c r="AW21" s="29">
        <v>4</v>
      </c>
      <c r="AX21" s="29" t="s">
        <v>114</v>
      </c>
      <c r="AY21" s="29"/>
      <c r="BA21" s="29">
        <f t="shared" si="4"/>
        <v>7</v>
      </c>
      <c r="BB21" s="29" t="s">
        <v>71</v>
      </c>
      <c r="BC21" s="29"/>
      <c r="BD21" s="29" t="s">
        <v>360</v>
      </c>
      <c r="BE21" s="29" t="s">
        <v>909</v>
      </c>
      <c r="BF21" s="55">
        <v>92</v>
      </c>
      <c r="BG21" s="29" t="s">
        <v>106</v>
      </c>
      <c r="BH21" s="29">
        <v>3.3</v>
      </c>
      <c r="BI21" s="29">
        <v>1</v>
      </c>
      <c r="BJ21" s="29">
        <v>4.3</v>
      </c>
      <c r="BK21" s="29" t="s">
        <v>114</v>
      </c>
      <c r="BL21" s="29"/>
    </row>
    <row r="22" spans="1:64">
      <c r="A22" s="61">
        <f t="shared" si="0"/>
        <v>8</v>
      </c>
      <c r="B22" s="29" t="s">
        <v>71</v>
      </c>
      <c r="C22" s="29">
        <v>63</v>
      </c>
      <c r="D22" s="29" t="s">
        <v>534</v>
      </c>
      <c r="E22" s="29" t="s">
        <v>484</v>
      </c>
      <c r="F22" s="55">
        <v>422</v>
      </c>
      <c r="G22" s="29" t="s">
        <v>891</v>
      </c>
      <c r="H22" s="29">
        <v>3</v>
      </c>
      <c r="I22" s="29">
        <v>1</v>
      </c>
      <c r="J22" s="29">
        <v>4</v>
      </c>
      <c r="K22" s="29" t="s">
        <v>114</v>
      </c>
      <c r="L22" s="61"/>
      <c r="N22" s="55">
        <f t="shared" si="1"/>
        <v>8</v>
      </c>
      <c r="O22" s="55" t="s">
        <v>71</v>
      </c>
      <c r="P22" s="55">
        <v>63</v>
      </c>
      <c r="Q22" s="55" t="s">
        <v>910</v>
      </c>
      <c r="R22" s="55" t="s">
        <v>911</v>
      </c>
      <c r="S22" s="55">
        <v>116</v>
      </c>
      <c r="T22" s="55" t="s">
        <v>106</v>
      </c>
      <c r="U22" s="55">
        <v>3.3</v>
      </c>
      <c r="V22" s="55">
        <v>1</v>
      </c>
      <c r="W22" s="55">
        <v>4.3</v>
      </c>
      <c r="X22" s="55" t="s">
        <v>114</v>
      </c>
      <c r="Y22" s="55"/>
      <c r="AA22" s="61">
        <f t="shared" si="2"/>
        <v>8</v>
      </c>
      <c r="AB22" s="29" t="s">
        <v>71</v>
      </c>
      <c r="AC22" s="61">
        <v>63</v>
      </c>
      <c r="AD22" s="29" t="s">
        <v>394</v>
      </c>
      <c r="AE22" s="29" t="s">
        <v>311</v>
      </c>
      <c r="AF22" s="55">
        <v>37.700000000000003</v>
      </c>
      <c r="AG22" s="55" t="s">
        <v>106</v>
      </c>
      <c r="AH22" s="29">
        <v>3.5</v>
      </c>
      <c r="AI22" s="29">
        <v>1</v>
      </c>
      <c r="AJ22" s="29">
        <v>4.5</v>
      </c>
      <c r="AK22" s="29" t="s">
        <v>114</v>
      </c>
      <c r="AL22" s="61"/>
      <c r="AN22" s="29">
        <f t="shared" si="3"/>
        <v>8</v>
      </c>
      <c r="AO22" s="29" t="s">
        <v>71</v>
      </c>
      <c r="AP22" s="29">
        <v>63</v>
      </c>
      <c r="AQ22" s="29" t="s">
        <v>904</v>
      </c>
      <c r="AR22" s="29" t="s">
        <v>912</v>
      </c>
      <c r="AS22" s="55">
        <v>61.4</v>
      </c>
      <c r="AT22" s="55" t="s">
        <v>285</v>
      </c>
      <c r="AU22" s="55">
        <v>3</v>
      </c>
      <c r="AV22" s="29">
        <v>1</v>
      </c>
      <c r="AW22" s="29">
        <v>4</v>
      </c>
      <c r="AX22" s="29" t="s">
        <v>114</v>
      </c>
      <c r="AY22" s="29"/>
      <c r="BA22" s="29">
        <f t="shared" si="4"/>
        <v>8</v>
      </c>
      <c r="BB22" s="29" t="s">
        <v>71</v>
      </c>
      <c r="BC22" s="29"/>
      <c r="BD22" s="29" t="s">
        <v>909</v>
      </c>
      <c r="BE22" s="29" t="s">
        <v>913</v>
      </c>
      <c r="BF22" s="55">
        <v>30.6</v>
      </c>
      <c r="BG22" s="29" t="s">
        <v>106</v>
      </c>
      <c r="BH22" s="29">
        <v>3.3</v>
      </c>
      <c r="BI22" s="29">
        <v>1</v>
      </c>
      <c r="BJ22" s="29">
        <v>4.3</v>
      </c>
      <c r="BK22" s="29" t="s">
        <v>114</v>
      </c>
      <c r="BL22" s="29"/>
    </row>
    <row r="23" spans="1:64">
      <c r="A23" s="61">
        <f t="shared" si="0"/>
        <v>9</v>
      </c>
      <c r="B23" s="29" t="s">
        <v>71</v>
      </c>
      <c r="C23" s="29">
        <v>63</v>
      </c>
      <c r="D23" s="29" t="s">
        <v>317</v>
      </c>
      <c r="E23" s="29" t="s">
        <v>391</v>
      </c>
      <c r="F23" s="55">
        <v>65.2</v>
      </c>
      <c r="G23" s="29" t="s">
        <v>891</v>
      </c>
      <c r="H23" s="29">
        <v>3</v>
      </c>
      <c r="I23" s="29">
        <v>1</v>
      </c>
      <c r="J23" s="29">
        <v>4</v>
      </c>
      <c r="K23" s="29" t="s">
        <v>114</v>
      </c>
      <c r="L23" s="61"/>
      <c r="N23" s="55">
        <f t="shared" si="1"/>
        <v>9</v>
      </c>
      <c r="O23" s="55" t="s">
        <v>71</v>
      </c>
      <c r="P23" s="55">
        <v>63</v>
      </c>
      <c r="Q23" s="55" t="s">
        <v>897</v>
      </c>
      <c r="R23" s="55" t="s">
        <v>914</v>
      </c>
      <c r="S23" s="55">
        <v>142</v>
      </c>
      <c r="T23" s="55" t="s">
        <v>106</v>
      </c>
      <c r="U23" s="55">
        <v>3.3</v>
      </c>
      <c r="V23" s="55">
        <v>1</v>
      </c>
      <c r="W23" s="55">
        <v>4.3</v>
      </c>
      <c r="X23" s="55" t="s">
        <v>114</v>
      </c>
      <c r="Y23" s="55"/>
      <c r="AA23" s="61">
        <f t="shared" si="2"/>
        <v>9</v>
      </c>
      <c r="AB23" s="29" t="s">
        <v>71</v>
      </c>
      <c r="AC23" s="61">
        <v>63</v>
      </c>
      <c r="AD23" s="29" t="s">
        <v>311</v>
      </c>
      <c r="AE23" s="29" t="s">
        <v>915</v>
      </c>
      <c r="AF23" s="55">
        <v>39.4</v>
      </c>
      <c r="AG23" s="55" t="s">
        <v>106</v>
      </c>
      <c r="AH23" s="29">
        <v>3.5</v>
      </c>
      <c r="AI23" s="29">
        <v>1</v>
      </c>
      <c r="AJ23" s="29">
        <v>4.5</v>
      </c>
      <c r="AK23" s="29" t="s">
        <v>114</v>
      </c>
      <c r="AL23" s="61"/>
      <c r="AN23" s="29">
        <f t="shared" si="3"/>
        <v>9</v>
      </c>
      <c r="AO23" s="29" t="s">
        <v>71</v>
      </c>
      <c r="AP23" s="29">
        <v>63</v>
      </c>
      <c r="AQ23" s="29" t="s">
        <v>912</v>
      </c>
      <c r="AR23" s="29" t="s">
        <v>916</v>
      </c>
      <c r="AS23" s="55">
        <v>114.5</v>
      </c>
      <c r="AT23" s="55" t="s">
        <v>285</v>
      </c>
      <c r="AU23" s="55">
        <v>3</v>
      </c>
      <c r="AV23" s="29">
        <v>1</v>
      </c>
      <c r="AW23" s="29">
        <v>4</v>
      </c>
      <c r="AX23" s="29" t="s">
        <v>114</v>
      </c>
      <c r="AY23" s="29"/>
      <c r="BA23" s="29">
        <f t="shared" si="4"/>
        <v>9</v>
      </c>
      <c r="BB23" s="29" t="s">
        <v>71</v>
      </c>
      <c r="BC23" s="29"/>
      <c r="BD23" s="29" t="s">
        <v>909</v>
      </c>
      <c r="BE23" s="29" t="s">
        <v>917</v>
      </c>
      <c r="BF23" s="55">
        <v>56.5</v>
      </c>
      <c r="BG23" s="29" t="s">
        <v>106</v>
      </c>
      <c r="BH23" s="29">
        <v>3.3</v>
      </c>
      <c r="BI23" s="29">
        <v>1</v>
      </c>
      <c r="BJ23" s="29">
        <v>4.3</v>
      </c>
      <c r="BK23" s="29" t="s">
        <v>114</v>
      </c>
      <c r="BL23" s="29"/>
    </row>
    <row r="24" spans="1:64">
      <c r="A24" s="61">
        <f t="shared" si="0"/>
        <v>10</v>
      </c>
      <c r="B24" s="29" t="s">
        <v>71</v>
      </c>
      <c r="C24" s="29">
        <v>63</v>
      </c>
      <c r="D24" s="29" t="s">
        <v>391</v>
      </c>
      <c r="E24" s="29" t="s">
        <v>280</v>
      </c>
      <c r="F24" s="55">
        <v>5.5</v>
      </c>
      <c r="G24" s="29" t="s">
        <v>891</v>
      </c>
      <c r="H24" s="29">
        <v>3</v>
      </c>
      <c r="I24" s="29">
        <v>1</v>
      </c>
      <c r="J24" s="29">
        <v>4</v>
      </c>
      <c r="K24" s="29" t="s">
        <v>114</v>
      </c>
      <c r="L24" s="61"/>
      <c r="N24" s="55">
        <f t="shared" si="1"/>
        <v>10</v>
      </c>
      <c r="O24" s="55" t="s">
        <v>71</v>
      </c>
      <c r="P24" s="55">
        <v>63</v>
      </c>
      <c r="Q24" s="55" t="s">
        <v>315</v>
      </c>
      <c r="R24" s="55" t="s">
        <v>918</v>
      </c>
      <c r="S24" s="55">
        <v>217.1</v>
      </c>
      <c r="T24" s="55" t="s">
        <v>106</v>
      </c>
      <c r="U24" s="55">
        <v>3.3</v>
      </c>
      <c r="V24" s="55">
        <v>1</v>
      </c>
      <c r="W24" s="55">
        <v>4.3</v>
      </c>
      <c r="X24" s="55" t="s">
        <v>114</v>
      </c>
      <c r="Y24" s="55"/>
      <c r="AA24" s="61">
        <f t="shared" si="2"/>
        <v>10</v>
      </c>
      <c r="AB24" s="29" t="s">
        <v>71</v>
      </c>
      <c r="AC24" s="61">
        <v>63</v>
      </c>
      <c r="AD24" s="29" t="s">
        <v>311</v>
      </c>
      <c r="AE24" s="29" t="s">
        <v>893</v>
      </c>
      <c r="AF24" s="55">
        <v>127.2</v>
      </c>
      <c r="AG24" s="55" t="s">
        <v>106</v>
      </c>
      <c r="AH24" s="29">
        <v>3.5</v>
      </c>
      <c r="AI24" s="29">
        <v>1</v>
      </c>
      <c r="AJ24" s="29">
        <v>4.5</v>
      </c>
      <c r="AK24" s="29" t="s">
        <v>114</v>
      </c>
      <c r="AL24" s="61"/>
      <c r="AN24" s="29">
        <f t="shared" si="3"/>
        <v>10</v>
      </c>
      <c r="AO24" s="29" t="s">
        <v>71</v>
      </c>
      <c r="AP24" s="29">
        <v>63</v>
      </c>
      <c r="AQ24" s="29" t="s">
        <v>916</v>
      </c>
      <c r="AR24" s="29" t="s">
        <v>919</v>
      </c>
      <c r="AS24" s="55">
        <v>38.5</v>
      </c>
      <c r="AT24" s="55" t="s">
        <v>285</v>
      </c>
      <c r="AU24" s="55">
        <v>3</v>
      </c>
      <c r="AV24" s="29">
        <v>1</v>
      </c>
      <c r="AW24" s="29">
        <v>4</v>
      </c>
      <c r="AX24" s="29" t="s">
        <v>114</v>
      </c>
      <c r="AY24" s="29"/>
      <c r="BA24" s="29">
        <f t="shared" si="4"/>
        <v>10</v>
      </c>
      <c r="BB24" s="29" t="s">
        <v>71</v>
      </c>
      <c r="BC24" s="29"/>
      <c r="BD24" s="29" t="s">
        <v>909</v>
      </c>
      <c r="BE24" s="29" t="s">
        <v>917</v>
      </c>
      <c r="BF24" s="55">
        <v>13.4</v>
      </c>
      <c r="BG24" s="29" t="s">
        <v>106</v>
      </c>
      <c r="BH24" s="29">
        <v>3.3</v>
      </c>
      <c r="BI24" s="29">
        <v>1</v>
      </c>
      <c r="BJ24" s="29">
        <v>4.3</v>
      </c>
      <c r="BK24" s="29" t="s">
        <v>114</v>
      </c>
      <c r="BL24" s="29"/>
    </row>
    <row r="25" spans="1:64">
      <c r="A25" s="61">
        <f t="shared" si="0"/>
        <v>11</v>
      </c>
      <c r="B25" s="29" t="s">
        <v>71</v>
      </c>
      <c r="C25" s="29">
        <v>63</v>
      </c>
      <c r="D25" s="29" t="s">
        <v>280</v>
      </c>
      <c r="E25" s="29" t="s">
        <v>526</v>
      </c>
      <c r="F25" s="55">
        <v>126</v>
      </c>
      <c r="G25" s="29" t="s">
        <v>891</v>
      </c>
      <c r="H25" s="29">
        <v>3</v>
      </c>
      <c r="I25" s="29">
        <v>1</v>
      </c>
      <c r="J25" s="29">
        <v>4</v>
      </c>
      <c r="K25" s="29" t="s">
        <v>114</v>
      </c>
      <c r="L25" s="61"/>
      <c r="N25" s="55">
        <f t="shared" si="1"/>
        <v>11</v>
      </c>
      <c r="O25" s="55" t="s">
        <v>71</v>
      </c>
      <c r="P25" s="55">
        <v>63</v>
      </c>
      <c r="Q25" s="55" t="s">
        <v>918</v>
      </c>
      <c r="R25" s="55" t="s">
        <v>920</v>
      </c>
      <c r="S25" s="55">
        <v>10.8</v>
      </c>
      <c r="T25" s="55" t="s">
        <v>106</v>
      </c>
      <c r="U25" s="55">
        <v>3.3</v>
      </c>
      <c r="V25" s="55">
        <v>1</v>
      </c>
      <c r="W25" s="55">
        <v>4.3</v>
      </c>
      <c r="X25" s="55" t="s">
        <v>114</v>
      </c>
      <c r="Y25" s="55"/>
      <c r="AA25" s="61">
        <f t="shared" si="2"/>
        <v>11</v>
      </c>
      <c r="AB25" s="29" t="s">
        <v>71</v>
      </c>
      <c r="AC25" s="61">
        <v>63</v>
      </c>
      <c r="AD25" s="29" t="s">
        <v>307</v>
      </c>
      <c r="AE25" s="29" t="s">
        <v>475</v>
      </c>
      <c r="AF25" s="55">
        <v>10.7</v>
      </c>
      <c r="AG25" s="55" t="s">
        <v>106</v>
      </c>
      <c r="AH25" s="29">
        <v>3.5</v>
      </c>
      <c r="AI25" s="29">
        <v>1</v>
      </c>
      <c r="AJ25" s="29">
        <v>4.5</v>
      </c>
      <c r="AK25" s="29" t="s">
        <v>114</v>
      </c>
      <c r="AL25" s="61"/>
      <c r="AN25" s="29">
        <f t="shared" si="3"/>
        <v>11</v>
      </c>
      <c r="AO25" s="29" t="s">
        <v>71</v>
      </c>
      <c r="AP25" s="29">
        <v>63</v>
      </c>
      <c r="AQ25" s="29" t="s">
        <v>916</v>
      </c>
      <c r="AR25" s="29" t="s">
        <v>921</v>
      </c>
      <c r="AS25" s="55">
        <v>7.1</v>
      </c>
      <c r="AT25" s="55" t="s">
        <v>285</v>
      </c>
      <c r="AU25" s="55">
        <v>3</v>
      </c>
      <c r="AV25" s="29">
        <v>1</v>
      </c>
      <c r="AW25" s="29">
        <v>4</v>
      </c>
      <c r="AX25" s="29" t="s">
        <v>114</v>
      </c>
      <c r="AY25" s="29"/>
      <c r="BA25" s="29">
        <f t="shared" si="4"/>
        <v>11</v>
      </c>
      <c r="BB25" s="29" t="s">
        <v>71</v>
      </c>
      <c r="BC25" s="29"/>
      <c r="BD25" s="29" t="s">
        <v>909</v>
      </c>
      <c r="BE25" s="29" t="s">
        <v>917</v>
      </c>
      <c r="BF25" s="55">
        <v>15.8</v>
      </c>
      <c r="BG25" s="29" t="s">
        <v>106</v>
      </c>
      <c r="BH25" s="29">
        <v>3.3</v>
      </c>
      <c r="BI25" s="29">
        <v>1</v>
      </c>
      <c r="BJ25" s="29">
        <v>4.3</v>
      </c>
      <c r="BK25" s="29" t="s">
        <v>114</v>
      </c>
      <c r="BL25" s="29"/>
    </row>
    <row r="26" spans="1:64">
      <c r="A26" s="61">
        <f t="shared" si="0"/>
        <v>12</v>
      </c>
      <c r="B26" s="29" t="s">
        <v>71</v>
      </c>
      <c r="C26" s="29">
        <v>63</v>
      </c>
      <c r="D26" s="29" t="s">
        <v>280</v>
      </c>
      <c r="E26" s="29" t="s">
        <v>484</v>
      </c>
      <c r="F26" s="55">
        <v>44.8</v>
      </c>
      <c r="G26" s="29" t="s">
        <v>891</v>
      </c>
      <c r="H26" s="29">
        <v>3</v>
      </c>
      <c r="I26" s="29">
        <v>1</v>
      </c>
      <c r="J26" s="29">
        <v>4</v>
      </c>
      <c r="K26" s="29" t="s">
        <v>114</v>
      </c>
      <c r="L26" s="61"/>
      <c r="N26" s="55">
        <f t="shared" si="1"/>
        <v>12</v>
      </c>
      <c r="O26" s="55" t="s">
        <v>71</v>
      </c>
      <c r="P26" s="55">
        <v>63</v>
      </c>
      <c r="Q26" s="55" t="s">
        <v>920</v>
      </c>
      <c r="R26" s="55" t="s">
        <v>922</v>
      </c>
      <c r="S26" s="55">
        <v>16.600000000000001</v>
      </c>
      <c r="T26" s="55" t="s">
        <v>106</v>
      </c>
      <c r="U26" s="55">
        <v>3.3</v>
      </c>
      <c r="V26" s="55">
        <v>1</v>
      </c>
      <c r="W26" s="55">
        <v>4.3</v>
      </c>
      <c r="X26" s="55" t="s">
        <v>114</v>
      </c>
      <c r="Y26" s="55"/>
      <c r="AA26" s="61">
        <f t="shared" si="2"/>
        <v>12</v>
      </c>
      <c r="AB26" s="29" t="s">
        <v>71</v>
      </c>
      <c r="AC26" s="61">
        <v>63</v>
      </c>
      <c r="AD26" s="29" t="s">
        <v>475</v>
      </c>
      <c r="AE26" s="29" t="s">
        <v>333</v>
      </c>
      <c r="AF26" s="55">
        <v>281.89999999999998</v>
      </c>
      <c r="AG26" s="55" t="s">
        <v>106</v>
      </c>
      <c r="AH26" s="29">
        <v>3.5</v>
      </c>
      <c r="AI26" s="29">
        <v>1</v>
      </c>
      <c r="AJ26" s="29">
        <v>4.5</v>
      </c>
      <c r="AK26" s="29" t="s">
        <v>114</v>
      </c>
      <c r="AL26" s="61"/>
      <c r="AN26" s="29">
        <f t="shared" si="3"/>
        <v>12</v>
      </c>
      <c r="AO26" s="29" t="s">
        <v>71</v>
      </c>
      <c r="AP26" s="29">
        <v>63</v>
      </c>
      <c r="AQ26" s="29" t="s">
        <v>921</v>
      </c>
      <c r="AR26" s="29" t="s">
        <v>907</v>
      </c>
      <c r="AS26" s="55">
        <v>11.3</v>
      </c>
      <c r="AT26" s="55" t="s">
        <v>285</v>
      </c>
      <c r="AU26" s="55">
        <v>3</v>
      </c>
      <c r="AV26" s="29">
        <v>1</v>
      </c>
      <c r="AW26" s="29">
        <v>4</v>
      </c>
      <c r="AX26" s="29" t="s">
        <v>114</v>
      </c>
      <c r="AY26" s="29"/>
      <c r="BA26" s="29">
        <f t="shared" si="4"/>
        <v>12</v>
      </c>
      <c r="BB26" s="29" t="s">
        <v>71</v>
      </c>
      <c r="BC26" s="29"/>
      <c r="BD26" s="29" t="s">
        <v>917</v>
      </c>
      <c r="BE26" s="29" t="s">
        <v>353</v>
      </c>
      <c r="BF26" s="55">
        <v>19.8</v>
      </c>
      <c r="BG26" s="29" t="s">
        <v>106</v>
      </c>
      <c r="BH26" s="29">
        <v>3.3</v>
      </c>
      <c r="BI26" s="29">
        <v>1</v>
      </c>
      <c r="BJ26" s="29">
        <v>4.3</v>
      </c>
      <c r="BK26" s="29" t="s">
        <v>114</v>
      </c>
      <c r="BL26" s="29"/>
    </row>
    <row r="27" spans="1:64">
      <c r="A27" s="61">
        <f t="shared" si="0"/>
        <v>13</v>
      </c>
      <c r="B27" s="29" t="s">
        <v>71</v>
      </c>
      <c r="C27" s="29">
        <v>63</v>
      </c>
      <c r="D27" s="29" t="s">
        <v>484</v>
      </c>
      <c r="E27" s="29" t="s">
        <v>378</v>
      </c>
      <c r="F27" s="55">
        <v>82.8</v>
      </c>
      <c r="G27" s="29" t="s">
        <v>891</v>
      </c>
      <c r="H27" s="29">
        <v>3</v>
      </c>
      <c r="I27" s="29">
        <v>1</v>
      </c>
      <c r="J27" s="29">
        <v>4</v>
      </c>
      <c r="K27" s="29" t="s">
        <v>114</v>
      </c>
      <c r="L27" s="61"/>
      <c r="N27" s="55">
        <f t="shared" si="1"/>
        <v>13</v>
      </c>
      <c r="O27" s="55" t="s">
        <v>71</v>
      </c>
      <c r="P27" s="55">
        <v>63</v>
      </c>
      <c r="Q27" s="55" t="s">
        <v>920</v>
      </c>
      <c r="R27" s="55" t="s">
        <v>923</v>
      </c>
      <c r="S27" s="55">
        <v>19.100000000000001</v>
      </c>
      <c r="T27" s="55" t="s">
        <v>106</v>
      </c>
      <c r="U27" s="55">
        <v>3.3</v>
      </c>
      <c r="V27" s="55">
        <v>1</v>
      </c>
      <c r="W27" s="55">
        <v>4.3</v>
      </c>
      <c r="X27" s="55" t="s">
        <v>114</v>
      </c>
      <c r="Y27" s="55"/>
      <c r="AA27" s="61">
        <f t="shared" si="2"/>
        <v>13</v>
      </c>
      <c r="AB27" s="29" t="s">
        <v>71</v>
      </c>
      <c r="AC27" s="61">
        <v>63</v>
      </c>
      <c r="AD27" s="29" t="s">
        <v>333</v>
      </c>
      <c r="AE27" s="29" t="s">
        <v>348</v>
      </c>
      <c r="AF27" s="55">
        <v>112.7</v>
      </c>
      <c r="AG27" s="55" t="s">
        <v>106</v>
      </c>
      <c r="AH27" s="29">
        <v>3.5</v>
      </c>
      <c r="AI27" s="29">
        <v>1</v>
      </c>
      <c r="AJ27" s="29">
        <v>4.5</v>
      </c>
      <c r="AK27" s="29" t="s">
        <v>114</v>
      </c>
      <c r="AL27" s="61"/>
      <c r="AN27" s="29">
        <f t="shared" si="3"/>
        <v>13</v>
      </c>
      <c r="AO27" s="29" t="s">
        <v>71</v>
      </c>
      <c r="AP27" s="29">
        <v>63</v>
      </c>
      <c r="AQ27" s="29" t="s">
        <v>921</v>
      </c>
      <c r="AR27" s="29" t="s">
        <v>907</v>
      </c>
      <c r="AS27" s="55">
        <v>116</v>
      </c>
      <c r="AT27" s="55" t="s">
        <v>285</v>
      </c>
      <c r="AU27" s="55">
        <v>3</v>
      </c>
      <c r="AV27" s="29">
        <v>1</v>
      </c>
      <c r="AW27" s="29">
        <v>4</v>
      </c>
      <c r="AX27" s="29" t="s">
        <v>114</v>
      </c>
      <c r="AY27" s="29"/>
      <c r="BA27" s="29">
        <f t="shared" si="4"/>
        <v>13</v>
      </c>
      <c r="BB27" s="29" t="s">
        <v>71</v>
      </c>
      <c r="BC27" s="29"/>
      <c r="BD27" s="29" t="s">
        <v>352</v>
      </c>
      <c r="BE27" s="29" t="s">
        <v>924</v>
      </c>
      <c r="BF27" s="55">
        <v>39.4</v>
      </c>
      <c r="BG27" s="29" t="s">
        <v>106</v>
      </c>
      <c r="BH27" s="29">
        <v>3.3</v>
      </c>
      <c r="BI27" s="29">
        <v>1</v>
      </c>
      <c r="BJ27" s="29">
        <v>4.3</v>
      </c>
      <c r="BK27" s="29" t="s">
        <v>114</v>
      </c>
      <c r="BL27" s="29"/>
    </row>
    <row r="28" spans="1:64">
      <c r="A28" s="61">
        <f t="shared" si="0"/>
        <v>14</v>
      </c>
      <c r="B28" s="29" t="s">
        <v>71</v>
      </c>
      <c r="C28" s="29">
        <v>63</v>
      </c>
      <c r="D28" s="29" t="s">
        <v>378</v>
      </c>
      <c r="E28" s="29" t="s">
        <v>284</v>
      </c>
      <c r="F28" s="55">
        <f>108.3-F29</f>
        <v>43.5</v>
      </c>
      <c r="G28" s="29" t="s">
        <v>891</v>
      </c>
      <c r="H28" s="29">
        <v>3</v>
      </c>
      <c r="I28" s="29">
        <v>1</v>
      </c>
      <c r="J28" s="29">
        <v>4</v>
      </c>
      <c r="K28" s="29" t="s">
        <v>114</v>
      </c>
      <c r="L28" s="61"/>
      <c r="N28" s="55">
        <f t="shared" si="1"/>
        <v>14</v>
      </c>
      <c r="O28" s="55" t="s">
        <v>71</v>
      </c>
      <c r="P28" s="55">
        <v>63</v>
      </c>
      <c r="Q28" s="55" t="s">
        <v>923</v>
      </c>
      <c r="R28" s="55" t="s">
        <v>368</v>
      </c>
      <c r="S28" s="55">
        <v>70</v>
      </c>
      <c r="T28" s="55" t="s">
        <v>106</v>
      </c>
      <c r="U28" s="55">
        <v>3.3</v>
      </c>
      <c r="V28" s="55">
        <v>1</v>
      </c>
      <c r="W28" s="55">
        <v>4.3</v>
      </c>
      <c r="X28" s="55" t="s">
        <v>114</v>
      </c>
      <c r="Y28" s="55"/>
      <c r="AA28" s="61">
        <f t="shared" si="2"/>
        <v>14</v>
      </c>
      <c r="AB28" s="29" t="s">
        <v>71</v>
      </c>
      <c r="AC28" s="61">
        <v>63</v>
      </c>
      <c r="AD28" s="29" t="s">
        <v>348</v>
      </c>
      <c r="AE28" s="29" t="s">
        <v>420</v>
      </c>
      <c r="AF28" s="55">
        <v>44.7</v>
      </c>
      <c r="AG28" s="55" t="s">
        <v>106</v>
      </c>
      <c r="AH28" s="29">
        <v>3.5</v>
      </c>
      <c r="AI28" s="29">
        <v>1</v>
      </c>
      <c r="AJ28" s="29">
        <v>4.5</v>
      </c>
      <c r="AK28" s="29" t="s">
        <v>114</v>
      </c>
      <c r="AL28" s="61"/>
      <c r="AN28" s="29">
        <f t="shared" si="3"/>
        <v>14</v>
      </c>
      <c r="AO28" s="29" t="s">
        <v>71</v>
      </c>
      <c r="AP28" s="29">
        <v>63</v>
      </c>
      <c r="AQ28" s="33" t="s">
        <v>907</v>
      </c>
      <c r="AR28" s="33" t="s">
        <v>901</v>
      </c>
      <c r="AS28" s="55">
        <v>188</v>
      </c>
      <c r="AT28" s="55" t="s">
        <v>285</v>
      </c>
      <c r="AU28" s="55">
        <v>3</v>
      </c>
      <c r="AV28" s="29">
        <v>1</v>
      </c>
      <c r="AW28" s="29">
        <v>4</v>
      </c>
      <c r="AX28" s="29" t="s">
        <v>114</v>
      </c>
      <c r="AY28" s="29"/>
      <c r="BA28" s="29">
        <f t="shared" si="4"/>
        <v>14</v>
      </c>
      <c r="BB28" s="29" t="s">
        <v>71</v>
      </c>
      <c r="BC28" s="29"/>
      <c r="BD28" s="29" t="s">
        <v>352</v>
      </c>
      <c r="BE28" s="29" t="s">
        <v>272</v>
      </c>
      <c r="BF28" s="55">
        <v>25.5</v>
      </c>
      <c r="BG28" s="29" t="s">
        <v>106</v>
      </c>
      <c r="BH28" s="29">
        <v>3.3</v>
      </c>
      <c r="BI28" s="29">
        <v>1</v>
      </c>
      <c r="BJ28" s="29">
        <v>4.3</v>
      </c>
      <c r="BK28" s="29" t="s">
        <v>114</v>
      </c>
      <c r="BL28" s="29"/>
    </row>
    <row r="29" spans="1:64">
      <c r="A29" s="61">
        <f t="shared" si="0"/>
        <v>15</v>
      </c>
      <c r="B29" s="29" t="s">
        <v>71</v>
      </c>
      <c r="C29" s="29">
        <v>63</v>
      </c>
      <c r="D29" s="29" t="s">
        <v>378</v>
      </c>
      <c r="E29" s="29" t="s">
        <v>284</v>
      </c>
      <c r="F29" s="55">
        <v>64.8</v>
      </c>
      <c r="G29" s="29" t="s">
        <v>891</v>
      </c>
      <c r="H29" s="29">
        <v>3</v>
      </c>
      <c r="I29" s="29">
        <v>1</v>
      </c>
      <c r="J29" s="29">
        <v>4</v>
      </c>
      <c r="K29" s="29" t="s">
        <v>114</v>
      </c>
      <c r="L29" s="61"/>
      <c r="N29" s="55">
        <f t="shared" si="1"/>
        <v>15</v>
      </c>
      <c r="O29" s="55" t="s">
        <v>71</v>
      </c>
      <c r="P29" s="55">
        <v>63</v>
      </c>
      <c r="Q29" s="55" t="s">
        <v>368</v>
      </c>
      <c r="R29" s="55" t="s">
        <v>452</v>
      </c>
      <c r="S29" s="55">
        <v>65</v>
      </c>
      <c r="T29" s="55" t="s">
        <v>106</v>
      </c>
      <c r="U29" s="55">
        <v>3.3</v>
      </c>
      <c r="V29" s="55">
        <v>1</v>
      </c>
      <c r="W29" s="55">
        <v>4.3</v>
      </c>
      <c r="X29" s="55" t="s">
        <v>114</v>
      </c>
      <c r="Y29" s="55"/>
      <c r="AA29" s="61">
        <f t="shared" si="2"/>
        <v>15</v>
      </c>
      <c r="AB29" s="29" t="s">
        <v>71</v>
      </c>
      <c r="AC29" s="61">
        <v>63</v>
      </c>
      <c r="AD29" s="29" t="s">
        <v>348</v>
      </c>
      <c r="AE29" s="29" t="s">
        <v>330</v>
      </c>
      <c r="AF29" s="55">
        <v>14.8</v>
      </c>
      <c r="AG29" s="55" t="s">
        <v>106</v>
      </c>
      <c r="AH29" s="29">
        <v>3.5</v>
      </c>
      <c r="AI29" s="29">
        <v>1</v>
      </c>
      <c r="AJ29" s="29">
        <v>4.5</v>
      </c>
      <c r="AK29" s="29" t="s">
        <v>114</v>
      </c>
      <c r="AL29" s="61"/>
      <c r="AN29" s="29">
        <f t="shared" si="3"/>
        <v>15</v>
      </c>
      <c r="AO29" s="29" t="s">
        <v>71</v>
      </c>
      <c r="AP29" s="29">
        <v>63</v>
      </c>
      <c r="AQ29" s="33" t="s">
        <v>921</v>
      </c>
      <c r="AR29" s="33" t="s">
        <v>925</v>
      </c>
      <c r="AS29" s="55">
        <v>182</v>
      </c>
      <c r="AT29" s="55" t="s">
        <v>285</v>
      </c>
      <c r="AU29" s="55">
        <v>3</v>
      </c>
      <c r="AV29" s="29">
        <v>1</v>
      </c>
      <c r="AW29" s="29">
        <v>4</v>
      </c>
      <c r="AX29" s="29" t="s">
        <v>114</v>
      </c>
      <c r="AY29" s="29"/>
      <c r="BA29" s="29">
        <f t="shared" si="4"/>
        <v>15</v>
      </c>
      <c r="BB29" s="29" t="s">
        <v>71</v>
      </c>
      <c r="BC29" s="29"/>
      <c r="BD29" s="29" t="s">
        <v>272</v>
      </c>
      <c r="BE29" s="29" t="s">
        <v>926</v>
      </c>
      <c r="BF29" s="55">
        <v>37.700000000000003</v>
      </c>
      <c r="BG29" s="29" t="s">
        <v>106</v>
      </c>
      <c r="BH29" s="29">
        <v>3.3</v>
      </c>
      <c r="BI29" s="29">
        <v>1</v>
      </c>
      <c r="BJ29" s="29">
        <v>4.3</v>
      </c>
      <c r="BK29" s="29" t="s">
        <v>114</v>
      </c>
      <c r="BL29" s="29"/>
    </row>
    <row r="30" spans="1:64">
      <c r="A30" s="61">
        <f t="shared" si="0"/>
        <v>16</v>
      </c>
      <c r="B30" s="29" t="s">
        <v>71</v>
      </c>
      <c r="C30" s="29">
        <v>63</v>
      </c>
      <c r="D30" s="29" t="s">
        <v>284</v>
      </c>
      <c r="E30" s="29" t="s">
        <v>383</v>
      </c>
      <c r="F30" s="55">
        <v>15.1</v>
      </c>
      <c r="G30" s="29" t="s">
        <v>891</v>
      </c>
      <c r="H30" s="29">
        <v>3</v>
      </c>
      <c r="I30" s="29">
        <v>1</v>
      </c>
      <c r="J30" s="29">
        <v>4</v>
      </c>
      <c r="K30" s="29" t="s">
        <v>114</v>
      </c>
      <c r="L30" s="61"/>
      <c r="N30" s="55">
        <f t="shared" si="1"/>
        <v>16</v>
      </c>
      <c r="O30" s="55" t="s">
        <v>71</v>
      </c>
      <c r="P30" s="55">
        <v>63</v>
      </c>
      <c r="Q30" s="55" t="s">
        <v>452</v>
      </c>
      <c r="R30" s="55" t="s">
        <v>288</v>
      </c>
      <c r="S30" s="55">
        <v>63.2</v>
      </c>
      <c r="T30" s="55" t="s">
        <v>106</v>
      </c>
      <c r="U30" s="55">
        <v>3.3</v>
      </c>
      <c r="V30" s="55">
        <v>1</v>
      </c>
      <c r="W30" s="55">
        <v>4.3</v>
      </c>
      <c r="X30" s="55" t="s">
        <v>114</v>
      </c>
      <c r="Y30" s="55"/>
      <c r="AA30" s="61">
        <f t="shared" si="2"/>
        <v>16</v>
      </c>
      <c r="AB30" s="29" t="s">
        <v>71</v>
      </c>
      <c r="AC30" s="61">
        <v>63</v>
      </c>
      <c r="AD30" s="29" t="s">
        <v>330</v>
      </c>
      <c r="AE30" s="29" t="s">
        <v>374</v>
      </c>
      <c r="AF30" s="55">
        <v>37.1</v>
      </c>
      <c r="AG30" s="55" t="s">
        <v>106</v>
      </c>
      <c r="AH30" s="29">
        <v>3.5</v>
      </c>
      <c r="AI30" s="29">
        <v>1</v>
      </c>
      <c r="AJ30" s="29">
        <v>4.5</v>
      </c>
      <c r="AK30" s="29" t="s">
        <v>114</v>
      </c>
      <c r="AL30" s="61"/>
      <c r="AN30" s="29">
        <f t="shared" si="3"/>
        <v>16</v>
      </c>
      <c r="AO30" s="29" t="s">
        <v>71</v>
      </c>
      <c r="AP30" s="29">
        <v>63</v>
      </c>
      <c r="AQ30" s="33" t="s">
        <v>477</v>
      </c>
      <c r="AR30" s="33" t="s">
        <v>927</v>
      </c>
      <c r="AS30" s="55">
        <v>150.5</v>
      </c>
      <c r="AT30" s="55" t="s">
        <v>285</v>
      </c>
      <c r="AU30" s="55">
        <v>3</v>
      </c>
      <c r="AV30" s="29">
        <v>1</v>
      </c>
      <c r="AW30" s="29">
        <v>4</v>
      </c>
      <c r="AX30" s="29" t="s">
        <v>114</v>
      </c>
      <c r="AY30" s="29"/>
      <c r="BA30" s="29">
        <f t="shared" si="4"/>
        <v>16</v>
      </c>
      <c r="BB30" s="29" t="s">
        <v>71</v>
      </c>
      <c r="BC30" s="29"/>
      <c r="BD30" s="29" t="s">
        <v>272</v>
      </c>
      <c r="BE30" s="29" t="s">
        <v>928</v>
      </c>
      <c r="BF30" s="55">
        <v>12</v>
      </c>
      <c r="BG30" s="29" t="s">
        <v>106</v>
      </c>
      <c r="BH30" s="29">
        <v>3.3</v>
      </c>
      <c r="BI30" s="29">
        <v>1</v>
      </c>
      <c r="BJ30" s="29">
        <v>4.3</v>
      </c>
      <c r="BK30" s="29" t="s">
        <v>114</v>
      </c>
      <c r="BL30" s="29"/>
    </row>
    <row r="31" spans="1:64">
      <c r="A31" s="61">
        <f t="shared" si="0"/>
        <v>17</v>
      </c>
      <c r="B31" s="29" t="s">
        <v>71</v>
      </c>
      <c r="C31" s="29">
        <v>63</v>
      </c>
      <c r="D31" s="29" t="s">
        <v>284</v>
      </c>
      <c r="E31" s="29" t="s">
        <v>383</v>
      </c>
      <c r="F31" s="55">
        <v>112</v>
      </c>
      <c r="G31" s="29" t="s">
        <v>891</v>
      </c>
      <c r="H31" s="29">
        <v>3</v>
      </c>
      <c r="I31" s="29">
        <v>1</v>
      </c>
      <c r="J31" s="29">
        <v>4</v>
      </c>
      <c r="K31" s="29" t="s">
        <v>114</v>
      </c>
      <c r="L31" s="61"/>
      <c r="N31" s="55">
        <f t="shared" si="1"/>
        <v>17</v>
      </c>
      <c r="O31" s="55" t="s">
        <v>71</v>
      </c>
      <c r="P31" s="55">
        <v>63</v>
      </c>
      <c r="Q31" s="55" t="s">
        <v>288</v>
      </c>
      <c r="R31" s="55" t="s">
        <v>462</v>
      </c>
      <c r="S31" s="55">
        <v>54</v>
      </c>
      <c r="T31" s="55" t="s">
        <v>106</v>
      </c>
      <c r="U31" s="55">
        <v>3.3</v>
      </c>
      <c r="V31" s="55">
        <v>1</v>
      </c>
      <c r="W31" s="55">
        <v>4.3</v>
      </c>
      <c r="X31" s="55" t="s">
        <v>114</v>
      </c>
      <c r="Y31" s="55"/>
      <c r="AA31" s="61">
        <f t="shared" si="2"/>
        <v>17</v>
      </c>
      <c r="AB31" s="29" t="s">
        <v>71</v>
      </c>
      <c r="AC31" s="61">
        <v>63</v>
      </c>
      <c r="AD31" s="29" t="s">
        <v>374</v>
      </c>
      <c r="AE31" s="29" t="s">
        <v>283</v>
      </c>
      <c r="AF31" s="55">
        <v>32</v>
      </c>
      <c r="AG31" s="55" t="s">
        <v>106</v>
      </c>
      <c r="AH31" s="29">
        <v>3.5</v>
      </c>
      <c r="AI31" s="29">
        <v>1</v>
      </c>
      <c r="AJ31" s="29">
        <v>4.5</v>
      </c>
      <c r="AK31" s="29" t="s">
        <v>114</v>
      </c>
      <c r="AL31" s="61"/>
      <c r="AN31" s="29">
        <f t="shared" si="3"/>
        <v>17</v>
      </c>
      <c r="AO31" s="29" t="s">
        <v>71</v>
      </c>
      <c r="AP31" s="29">
        <v>63</v>
      </c>
      <c r="AQ31" s="33" t="s">
        <v>929</v>
      </c>
      <c r="AR31" s="33" t="s">
        <v>930</v>
      </c>
      <c r="AS31" s="55">
        <v>31</v>
      </c>
      <c r="AT31" s="55" t="s">
        <v>285</v>
      </c>
      <c r="AU31" s="55">
        <v>3</v>
      </c>
      <c r="AV31" s="29">
        <v>1</v>
      </c>
      <c r="AW31" s="29">
        <v>4</v>
      </c>
      <c r="AX31" s="29" t="s">
        <v>114</v>
      </c>
      <c r="AY31" s="29"/>
      <c r="BA31" s="29">
        <f t="shared" si="4"/>
        <v>17</v>
      </c>
      <c r="BB31" s="29" t="s">
        <v>71</v>
      </c>
      <c r="BC31" s="29"/>
      <c r="BD31" s="29" t="s">
        <v>272</v>
      </c>
      <c r="BE31" s="29" t="s">
        <v>928</v>
      </c>
      <c r="BF31" s="55">
        <v>27</v>
      </c>
      <c r="BG31" s="29" t="s">
        <v>106</v>
      </c>
      <c r="BH31" s="29">
        <v>3.3</v>
      </c>
      <c r="BI31" s="29">
        <v>1</v>
      </c>
      <c r="BJ31" s="29">
        <v>4.3</v>
      </c>
      <c r="BK31" s="29" t="s">
        <v>114</v>
      </c>
      <c r="BL31" s="29"/>
    </row>
    <row r="32" spans="1:64">
      <c r="A32" s="61">
        <f t="shared" si="0"/>
        <v>18</v>
      </c>
      <c r="B32" s="29" t="s">
        <v>71</v>
      </c>
      <c r="C32" s="29">
        <v>63</v>
      </c>
      <c r="D32" s="29" t="s">
        <v>383</v>
      </c>
      <c r="E32" s="29" t="s">
        <v>455</v>
      </c>
      <c r="F32" s="55">
        <v>57.5</v>
      </c>
      <c r="G32" s="29" t="s">
        <v>891</v>
      </c>
      <c r="H32" s="29">
        <v>3</v>
      </c>
      <c r="I32" s="29">
        <v>1</v>
      </c>
      <c r="J32" s="29">
        <v>4</v>
      </c>
      <c r="K32" s="29" t="s">
        <v>114</v>
      </c>
      <c r="L32" s="61"/>
      <c r="N32" s="55">
        <f t="shared" si="1"/>
        <v>18</v>
      </c>
      <c r="O32" s="55" t="s">
        <v>71</v>
      </c>
      <c r="P32" s="55">
        <v>63</v>
      </c>
      <c r="Q32" s="55" t="s">
        <v>923</v>
      </c>
      <c r="R32" s="55" t="s">
        <v>931</v>
      </c>
      <c r="S32" s="55">
        <v>74.099999999999994</v>
      </c>
      <c r="T32" s="55" t="s">
        <v>106</v>
      </c>
      <c r="U32" s="55">
        <v>3.3</v>
      </c>
      <c r="V32" s="55">
        <v>1</v>
      </c>
      <c r="W32" s="55">
        <v>4.3</v>
      </c>
      <c r="X32" s="55" t="s">
        <v>114</v>
      </c>
      <c r="Y32" s="55"/>
      <c r="AA32" s="61">
        <f t="shared" si="2"/>
        <v>18</v>
      </c>
      <c r="AB32" s="29" t="s">
        <v>71</v>
      </c>
      <c r="AC32" s="61">
        <v>63</v>
      </c>
      <c r="AD32" s="29" t="s">
        <v>283</v>
      </c>
      <c r="AE32" s="29" t="s">
        <v>202</v>
      </c>
      <c r="AF32" s="55">
        <v>121</v>
      </c>
      <c r="AG32" s="55" t="s">
        <v>106</v>
      </c>
      <c r="AH32" s="29">
        <v>3.5</v>
      </c>
      <c r="AI32" s="29">
        <v>1</v>
      </c>
      <c r="AJ32" s="29">
        <v>4.5</v>
      </c>
      <c r="AK32" s="29" t="s">
        <v>114</v>
      </c>
      <c r="AL32" s="61"/>
      <c r="AN32" s="29">
        <f t="shared" si="3"/>
        <v>18</v>
      </c>
      <c r="AO32" s="29" t="s">
        <v>71</v>
      </c>
      <c r="AP32" s="29">
        <v>63</v>
      </c>
      <c r="AQ32" s="33" t="s">
        <v>341</v>
      </c>
      <c r="AR32" s="33" t="s">
        <v>932</v>
      </c>
      <c r="AS32" s="55">
        <v>56.8</v>
      </c>
      <c r="AT32" s="55" t="s">
        <v>285</v>
      </c>
      <c r="AU32" s="55">
        <v>3</v>
      </c>
      <c r="AV32" s="29">
        <v>1</v>
      </c>
      <c r="AW32" s="29">
        <v>4</v>
      </c>
      <c r="AX32" s="29" t="s">
        <v>114</v>
      </c>
      <c r="AY32" s="29"/>
      <c r="BA32" s="29">
        <f t="shared" si="4"/>
        <v>18</v>
      </c>
      <c r="BB32" s="29" t="s">
        <v>71</v>
      </c>
      <c r="BC32" s="29"/>
      <c r="BD32" s="29" t="s">
        <v>933</v>
      </c>
      <c r="BE32" s="29" t="s">
        <v>934</v>
      </c>
      <c r="BF32" s="55">
        <v>37</v>
      </c>
      <c r="BG32" s="29" t="s">
        <v>106</v>
      </c>
      <c r="BH32" s="29">
        <v>3.3</v>
      </c>
      <c r="BI32" s="29">
        <v>1</v>
      </c>
      <c r="BJ32" s="29">
        <v>4.3</v>
      </c>
      <c r="BK32" s="29" t="s">
        <v>114</v>
      </c>
      <c r="BL32" s="29"/>
    </row>
    <row r="33" spans="1:64">
      <c r="A33" s="61">
        <f t="shared" si="0"/>
        <v>19</v>
      </c>
      <c r="B33" s="29" t="s">
        <v>71</v>
      </c>
      <c r="C33" s="29">
        <v>63</v>
      </c>
      <c r="D33" s="29" t="s">
        <v>383</v>
      </c>
      <c r="E33" s="29" t="s">
        <v>367</v>
      </c>
      <c r="F33" s="55">
        <v>59.1</v>
      </c>
      <c r="G33" s="29" t="s">
        <v>891</v>
      </c>
      <c r="H33" s="29">
        <v>3</v>
      </c>
      <c r="I33" s="29">
        <v>1</v>
      </c>
      <c r="J33" s="29">
        <v>4</v>
      </c>
      <c r="K33" s="29" t="s">
        <v>114</v>
      </c>
      <c r="L33" s="61"/>
      <c r="N33" s="55">
        <f t="shared" si="1"/>
        <v>19</v>
      </c>
      <c r="O33" s="55" t="s">
        <v>71</v>
      </c>
      <c r="P33" s="55">
        <v>63</v>
      </c>
      <c r="Q33" s="55" t="s">
        <v>935</v>
      </c>
      <c r="R33" s="55" t="s">
        <v>452</v>
      </c>
      <c r="S33" s="55">
        <v>62.7</v>
      </c>
      <c r="T33" s="55" t="s">
        <v>106</v>
      </c>
      <c r="U33" s="55">
        <v>3.3</v>
      </c>
      <c r="V33" s="55">
        <v>1</v>
      </c>
      <c r="W33" s="55">
        <v>4.3</v>
      </c>
      <c r="X33" s="55" t="s">
        <v>114</v>
      </c>
      <c r="Y33" s="55"/>
      <c r="AA33" s="61">
        <f t="shared" si="2"/>
        <v>19</v>
      </c>
      <c r="AB33" s="29" t="s">
        <v>71</v>
      </c>
      <c r="AC33" s="61">
        <v>63</v>
      </c>
      <c r="AD33" s="29" t="s">
        <v>414</v>
      </c>
      <c r="AE33" s="29" t="s">
        <v>529</v>
      </c>
      <c r="AF33" s="55">
        <v>53</v>
      </c>
      <c r="AG33" s="55" t="s">
        <v>106</v>
      </c>
      <c r="AH33" s="29">
        <v>3.5</v>
      </c>
      <c r="AI33" s="29">
        <v>1</v>
      </c>
      <c r="AJ33" s="29">
        <v>4.5</v>
      </c>
      <c r="AK33" s="29" t="s">
        <v>114</v>
      </c>
      <c r="AL33" s="61"/>
      <c r="AN33" s="29">
        <f t="shared" si="3"/>
        <v>19</v>
      </c>
      <c r="AO33" s="29" t="s">
        <v>71</v>
      </c>
      <c r="AP33" s="29">
        <v>63</v>
      </c>
      <c r="AQ33" s="29" t="s">
        <v>925</v>
      </c>
      <c r="AR33" s="29" t="s">
        <v>936</v>
      </c>
      <c r="AS33" s="55">
        <v>65</v>
      </c>
      <c r="AT33" s="55" t="s">
        <v>285</v>
      </c>
      <c r="AU33" s="55">
        <v>3</v>
      </c>
      <c r="AV33" s="29">
        <v>1</v>
      </c>
      <c r="AW33" s="29">
        <v>4</v>
      </c>
      <c r="AX33" s="29" t="s">
        <v>114</v>
      </c>
      <c r="AY33" s="29"/>
      <c r="BA33" s="29">
        <f t="shared" si="4"/>
        <v>19</v>
      </c>
      <c r="BB33" s="29" t="s">
        <v>71</v>
      </c>
      <c r="BC33" s="29"/>
      <c r="BD33" s="29" t="s">
        <v>937</v>
      </c>
      <c r="BE33" s="29" t="s">
        <v>938</v>
      </c>
      <c r="BF33" s="55">
        <v>36</v>
      </c>
      <c r="BG33" s="29" t="s">
        <v>106</v>
      </c>
      <c r="BH33" s="29">
        <v>3.3</v>
      </c>
      <c r="BI33" s="29">
        <v>1</v>
      </c>
      <c r="BJ33" s="29">
        <v>4.3</v>
      </c>
      <c r="BK33" s="29" t="s">
        <v>114</v>
      </c>
      <c r="BL33" s="29"/>
    </row>
    <row r="34" spans="1:64">
      <c r="A34" s="61">
        <f t="shared" si="0"/>
        <v>20</v>
      </c>
      <c r="B34" s="29" t="s">
        <v>71</v>
      </c>
      <c r="C34" s="29">
        <v>63</v>
      </c>
      <c r="D34" s="29" t="s">
        <v>383</v>
      </c>
      <c r="E34" s="29" t="s">
        <v>367</v>
      </c>
      <c r="F34" s="55">
        <f>172.3-F33</f>
        <v>113.20000000000002</v>
      </c>
      <c r="G34" s="29" t="s">
        <v>891</v>
      </c>
      <c r="H34" s="29">
        <v>3</v>
      </c>
      <c r="I34" s="29">
        <v>1</v>
      </c>
      <c r="J34" s="29">
        <v>4</v>
      </c>
      <c r="K34" s="29" t="s">
        <v>114</v>
      </c>
      <c r="L34" s="61"/>
      <c r="N34" s="55">
        <f t="shared" si="1"/>
        <v>20</v>
      </c>
      <c r="O34" s="55" t="s">
        <v>71</v>
      </c>
      <c r="P34" s="55">
        <v>63</v>
      </c>
      <c r="Q34" s="55" t="s">
        <v>935</v>
      </c>
      <c r="R34" s="55" t="s">
        <v>288</v>
      </c>
      <c r="S34" s="55">
        <v>112.4</v>
      </c>
      <c r="T34" s="55" t="s">
        <v>106</v>
      </c>
      <c r="U34" s="55">
        <v>3.3</v>
      </c>
      <c r="V34" s="55">
        <v>1</v>
      </c>
      <c r="W34" s="55">
        <v>4.3</v>
      </c>
      <c r="X34" s="55" t="s">
        <v>114</v>
      </c>
      <c r="Y34" s="55"/>
      <c r="AA34" s="61">
        <f t="shared" si="2"/>
        <v>20</v>
      </c>
      <c r="AB34" s="29" t="s">
        <v>71</v>
      </c>
      <c r="AC34" s="61">
        <v>63</v>
      </c>
      <c r="AD34" s="29" t="s">
        <v>529</v>
      </c>
      <c r="AE34" s="29" t="s">
        <v>291</v>
      </c>
      <c r="AF34" s="55">
        <v>112</v>
      </c>
      <c r="AG34" s="55" t="s">
        <v>106</v>
      </c>
      <c r="AH34" s="29">
        <v>3.5</v>
      </c>
      <c r="AI34" s="29">
        <v>1</v>
      </c>
      <c r="AJ34" s="29">
        <v>4.5</v>
      </c>
      <c r="AK34" s="29" t="s">
        <v>114</v>
      </c>
      <c r="AL34" s="61"/>
      <c r="AN34" s="29">
        <f t="shared" si="3"/>
        <v>20</v>
      </c>
      <c r="AO34" s="29" t="s">
        <v>71</v>
      </c>
      <c r="AP34" s="29">
        <v>63</v>
      </c>
      <c r="AQ34" s="29" t="s">
        <v>939</v>
      </c>
      <c r="AR34" s="29" t="s">
        <v>940</v>
      </c>
      <c r="AS34" s="55">
        <v>78</v>
      </c>
      <c r="AT34" s="55" t="s">
        <v>285</v>
      </c>
      <c r="AU34" s="55">
        <v>3</v>
      </c>
      <c r="AV34" s="29">
        <v>1</v>
      </c>
      <c r="AW34" s="29">
        <v>4</v>
      </c>
      <c r="AX34" s="29" t="s">
        <v>114</v>
      </c>
      <c r="AY34" s="29"/>
      <c r="BA34" s="29">
        <f t="shared" si="4"/>
        <v>20</v>
      </c>
      <c r="BB34" s="29" t="s">
        <v>71</v>
      </c>
      <c r="BC34" s="29"/>
      <c r="BD34" s="29" t="s">
        <v>388</v>
      </c>
      <c r="BE34" s="29" t="s">
        <v>941</v>
      </c>
      <c r="BF34" s="55">
        <v>96</v>
      </c>
      <c r="BG34" s="29" t="s">
        <v>106</v>
      </c>
      <c r="BH34" s="29">
        <v>3.3</v>
      </c>
      <c r="BI34" s="29">
        <v>1</v>
      </c>
      <c r="BJ34" s="29">
        <v>4.3</v>
      </c>
      <c r="BK34" s="29" t="s">
        <v>114</v>
      </c>
      <c r="BL34" s="29"/>
    </row>
    <row r="35" spans="1:64">
      <c r="A35" s="61">
        <f t="shared" si="0"/>
        <v>21</v>
      </c>
      <c r="B35" s="29" t="s">
        <v>71</v>
      </c>
      <c r="C35" s="29">
        <v>63</v>
      </c>
      <c r="D35" s="29" t="s">
        <v>391</v>
      </c>
      <c r="E35" s="29" t="s">
        <v>415</v>
      </c>
      <c r="F35" s="55">
        <v>42.9</v>
      </c>
      <c r="G35" s="29" t="s">
        <v>891</v>
      </c>
      <c r="H35" s="29">
        <v>3</v>
      </c>
      <c r="I35" s="29">
        <v>1</v>
      </c>
      <c r="J35" s="29">
        <v>4</v>
      </c>
      <c r="K35" s="29" t="s">
        <v>114</v>
      </c>
      <c r="L35" s="61"/>
      <c r="N35" s="55">
        <f t="shared" si="1"/>
        <v>21</v>
      </c>
      <c r="O35" s="55" t="s">
        <v>71</v>
      </c>
      <c r="P35" s="55">
        <v>63</v>
      </c>
      <c r="Q35" s="55" t="s">
        <v>918</v>
      </c>
      <c r="R35" s="55" t="s">
        <v>530</v>
      </c>
      <c r="S35" s="55">
        <v>32.200000000000003</v>
      </c>
      <c r="T35" s="55" t="s">
        <v>106</v>
      </c>
      <c r="U35" s="55">
        <v>3.3</v>
      </c>
      <c r="V35" s="55">
        <v>1</v>
      </c>
      <c r="W35" s="55">
        <v>4.3</v>
      </c>
      <c r="X35" s="55" t="s">
        <v>114</v>
      </c>
      <c r="Y35" s="55"/>
      <c r="AA35" s="61">
        <f t="shared" si="2"/>
        <v>21</v>
      </c>
      <c r="AB35" s="29" t="s">
        <v>71</v>
      </c>
      <c r="AC35" s="61">
        <v>63</v>
      </c>
      <c r="AD35" s="29" t="s">
        <v>291</v>
      </c>
      <c r="AE35" s="29" t="s">
        <v>347</v>
      </c>
      <c r="AF35" s="55">
        <v>133.30000000000001</v>
      </c>
      <c r="AG35" s="55" t="s">
        <v>106</v>
      </c>
      <c r="AH35" s="29">
        <v>3.5</v>
      </c>
      <c r="AI35" s="29">
        <v>1</v>
      </c>
      <c r="AJ35" s="29">
        <v>4.5</v>
      </c>
      <c r="AK35" s="29" t="s">
        <v>114</v>
      </c>
      <c r="AL35" s="61"/>
      <c r="AN35" s="29">
        <f t="shared" si="3"/>
        <v>21</v>
      </c>
      <c r="AO35" s="29" t="s">
        <v>71</v>
      </c>
      <c r="AP35" s="29">
        <v>63</v>
      </c>
      <c r="AQ35" s="29" t="s">
        <v>940</v>
      </c>
      <c r="AR35" s="29" t="s">
        <v>270</v>
      </c>
      <c r="AS35" s="55">
        <v>17</v>
      </c>
      <c r="AT35" s="55" t="s">
        <v>285</v>
      </c>
      <c r="AU35" s="55">
        <v>3</v>
      </c>
      <c r="AV35" s="29">
        <v>1</v>
      </c>
      <c r="AW35" s="29">
        <v>4</v>
      </c>
      <c r="AX35" s="29" t="s">
        <v>114</v>
      </c>
      <c r="AY35" s="29"/>
      <c r="BA35" s="29">
        <f t="shared" si="4"/>
        <v>21</v>
      </c>
      <c r="BB35" s="29" t="s">
        <v>71</v>
      </c>
      <c r="BC35" s="29"/>
      <c r="BD35" s="29" t="s">
        <v>942</v>
      </c>
      <c r="BE35" s="29" t="s">
        <v>431</v>
      </c>
      <c r="BF35" s="55">
        <v>108.1</v>
      </c>
      <c r="BG35" s="29" t="s">
        <v>106</v>
      </c>
      <c r="BH35" s="29">
        <v>3.3</v>
      </c>
      <c r="BI35" s="29">
        <v>1</v>
      </c>
      <c r="BJ35" s="29">
        <v>4.3</v>
      </c>
      <c r="BK35" s="29" t="s">
        <v>114</v>
      </c>
      <c r="BL35" s="29"/>
    </row>
    <row r="36" spans="1:64">
      <c r="A36" s="61">
        <f t="shared" si="0"/>
        <v>22</v>
      </c>
      <c r="B36" s="29" t="s">
        <v>71</v>
      </c>
      <c r="C36" s="29">
        <v>63</v>
      </c>
      <c r="D36" s="29" t="s">
        <v>415</v>
      </c>
      <c r="E36" s="29" t="s">
        <v>303</v>
      </c>
      <c r="F36" s="55">
        <v>40.9</v>
      </c>
      <c r="G36" s="29" t="s">
        <v>891</v>
      </c>
      <c r="H36" s="29">
        <v>3</v>
      </c>
      <c r="I36" s="29">
        <v>1</v>
      </c>
      <c r="J36" s="29">
        <v>4</v>
      </c>
      <c r="K36" s="29" t="s">
        <v>114</v>
      </c>
      <c r="L36" s="61"/>
      <c r="N36" s="55">
        <f t="shared" si="1"/>
        <v>22</v>
      </c>
      <c r="O36" s="55" t="s">
        <v>71</v>
      </c>
      <c r="P36" s="55">
        <v>63</v>
      </c>
      <c r="Q36" s="55" t="s">
        <v>530</v>
      </c>
      <c r="R36" s="55" t="s">
        <v>943</v>
      </c>
      <c r="S36" s="55">
        <v>77.099999999999994</v>
      </c>
      <c r="T36" s="55" t="s">
        <v>106</v>
      </c>
      <c r="U36" s="55">
        <v>3.3</v>
      </c>
      <c r="V36" s="55">
        <v>1</v>
      </c>
      <c r="W36" s="55">
        <v>4.3</v>
      </c>
      <c r="X36" s="55" t="s">
        <v>114</v>
      </c>
      <c r="Y36" s="55"/>
      <c r="AA36" s="61">
        <f t="shared" si="2"/>
        <v>22</v>
      </c>
      <c r="AB36" s="29" t="s">
        <v>71</v>
      </c>
      <c r="AC36" s="61">
        <v>63</v>
      </c>
      <c r="AD36" s="29" t="s">
        <v>347</v>
      </c>
      <c r="AE36" s="29" t="s">
        <v>395</v>
      </c>
      <c r="AF36" s="55">
        <v>58.5</v>
      </c>
      <c r="AG36" s="55" t="s">
        <v>106</v>
      </c>
      <c r="AH36" s="29">
        <v>3.5</v>
      </c>
      <c r="AI36" s="29">
        <v>1</v>
      </c>
      <c r="AJ36" s="29">
        <v>4.5</v>
      </c>
      <c r="AK36" s="29" t="s">
        <v>114</v>
      </c>
      <c r="AL36" s="61"/>
      <c r="AN36" s="29">
        <f t="shared" si="3"/>
        <v>22</v>
      </c>
      <c r="AO36" s="29" t="s">
        <v>71</v>
      </c>
      <c r="AP36" s="29">
        <v>63</v>
      </c>
      <c r="AQ36" s="55" t="s">
        <v>270</v>
      </c>
      <c r="AR36" s="55" t="s">
        <v>944</v>
      </c>
      <c r="AS36" s="55">
        <v>54.5</v>
      </c>
      <c r="AT36" s="55" t="s">
        <v>285</v>
      </c>
      <c r="AU36" s="55">
        <v>3</v>
      </c>
      <c r="AV36" s="29">
        <v>1</v>
      </c>
      <c r="AW36" s="29">
        <v>4</v>
      </c>
      <c r="AX36" s="29" t="s">
        <v>114</v>
      </c>
      <c r="AY36" s="29"/>
      <c r="BA36" s="29">
        <f t="shared" si="4"/>
        <v>22</v>
      </c>
      <c r="BB36" s="29" t="s">
        <v>71</v>
      </c>
      <c r="BC36" s="29"/>
      <c r="BD36" s="29" t="s">
        <v>431</v>
      </c>
      <c r="BE36" s="29" t="s">
        <v>945</v>
      </c>
      <c r="BF36" s="55">
        <v>103.2</v>
      </c>
      <c r="BG36" s="29" t="s">
        <v>106</v>
      </c>
      <c r="BH36" s="29">
        <v>3.3</v>
      </c>
      <c r="BI36" s="29">
        <v>1</v>
      </c>
      <c r="BJ36" s="29">
        <v>4.3</v>
      </c>
      <c r="BK36" s="29" t="s">
        <v>114</v>
      </c>
      <c r="BL36" s="29"/>
    </row>
    <row r="37" spans="1:64">
      <c r="A37" s="61">
        <f t="shared" si="0"/>
        <v>23</v>
      </c>
      <c r="B37" s="29" t="s">
        <v>71</v>
      </c>
      <c r="C37" s="29">
        <v>63</v>
      </c>
      <c r="D37" s="29" t="s">
        <v>415</v>
      </c>
      <c r="E37" s="29" t="s">
        <v>303</v>
      </c>
      <c r="F37" s="55">
        <v>3</v>
      </c>
      <c r="G37" s="29" t="s">
        <v>891</v>
      </c>
      <c r="H37" s="29">
        <v>3</v>
      </c>
      <c r="I37" s="29">
        <v>1</v>
      </c>
      <c r="J37" s="29">
        <v>4</v>
      </c>
      <c r="K37" s="29" t="s">
        <v>114</v>
      </c>
      <c r="L37" s="61"/>
      <c r="N37" s="55">
        <f t="shared" si="1"/>
        <v>23</v>
      </c>
      <c r="O37" s="55" t="s">
        <v>71</v>
      </c>
      <c r="P37" s="55">
        <v>63</v>
      </c>
      <c r="Q37" s="55" t="s">
        <v>943</v>
      </c>
      <c r="R37" s="55" t="s">
        <v>349</v>
      </c>
      <c r="S37" s="55">
        <v>84.1</v>
      </c>
      <c r="T37" s="55" t="s">
        <v>106</v>
      </c>
      <c r="U37" s="55">
        <v>3.3</v>
      </c>
      <c r="V37" s="55">
        <v>1</v>
      </c>
      <c r="W37" s="55">
        <v>4.3</v>
      </c>
      <c r="X37" s="55" t="s">
        <v>114</v>
      </c>
      <c r="Y37" s="55"/>
      <c r="AA37" s="61">
        <f t="shared" si="2"/>
        <v>23</v>
      </c>
      <c r="AB37" s="29" t="s">
        <v>71</v>
      </c>
      <c r="AC37" s="61">
        <v>63</v>
      </c>
      <c r="AD37" s="29" t="s">
        <v>395</v>
      </c>
      <c r="AE37" s="29" t="s">
        <v>449</v>
      </c>
      <c r="AF37" s="55">
        <v>96</v>
      </c>
      <c r="AG37" s="55" t="s">
        <v>106</v>
      </c>
      <c r="AH37" s="29">
        <v>3.5</v>
      </c>
      <c r="AI37" s="29">
        <v>1</v>
      </c>
      <c r="AJ37" s="29">
        <v>4.5</v>
      </c>
      <c r="AK37" s="29" t="s">
        <v>114</v>
      </c>
      <c r="AL37" s="61"/>
      <c r="AN37" s="29">
        <f t="shared" si="3"/>
        <v>23</v>
      </c>
      <c r="AO37" s="29" t="s">
        <v>71</v>
      </c>
      <c r="AP37" s="29">
        <v>63</v>
      </c>
      <c r="AQ37" s="29" t="s">
        <v>944</v>
      </c>
      <c r="AR37" s="29" t="s">
        <v>946</v>
      </c>
      <c r="AS37" s="55">
        <v>100.2</v>
      </c>
      <c r="AT37" s="55" t="s">
        <v>285</v>
      </c>
      <c r="AU37" s="55">
        <v>3</v>
      </c>
      <c r="AV37" s="29">
        <v>1</v>
      </c>
      <c r="AW37" s="29">
        <v>4</v>
      </c>
      <c r="AX37" s="29" t="s">
        <v>114</v>
      </c>
      <c r="AY37" s="29"/>
      <c r="BA37" s="29">
        <f t="shared" si="4"/>
        <v>23</v>
      </c>
      <c r="BB37" s="29" t="s">
        <v>71</v>
      </c>
      <c r="BC37" s="29"/>
      <c r="BD37" s="29" t="s">
        <v>431</v>
      </c>
      <c r="BE37" s="29" t="s">
        <v>947</v>
      </c>
      <c r="BF37" s="55">
        <v>75.2</v>
      </c>
      <c r="BG37" s="29" t="s">
        <v>106</v>
      </c>
      <c r="BH37" s="29">
        <v>3.3</v>
      </c>
      <c r="BI37" s="29">
        <v>1</v>
      </c>
      <c r="BJ37" s="29">
        <v>4.3</v>
      </c>
      <c r="BK37" s="29" t="s">
        <v>114</v>
      </c>
      <c r="BL37" s="29"/>
    </row>
    <row r="38" spans="1:64">
      <c r="A38" s="61">
        <f t="shared" si="0"/>
        <v>24</v>
      </c>
      <c r="B38" s="29" t="s">
        <v>71</v>
      </c>
      <c r="C38" s="29">
        <v>63</v>
      </c>
      <c r="D38" s="29" t="s">
        <v>415</v>
      </c>
      <c r="E38" s="29" t="s">
        <v>468</v>
      </c>
      <c r="F38" s="55">
        <v>95.1</v>
      </c>
      <c r="G38" s="29" t="s">
        <v>891</v>
      </c>
      <c r="H38" s="29">
        <v>3</v>
      </c>
      <c r="I38" s="29">
        <v>1</v>
      </c>
      <c r="J38" s="29">
        <v>4</v>
      </c>
      <c r="K38" s="29" t="s">
        <v>114</v>
      </c>
      <c r="L38" s="61"/>
      <c r="N38" s="55">
        <f t="shared" si="1"/>
        <v>24</v>
      </c>
      <c r="O38" s="55" t="s">
        <v>71</v>
      </c>
      <c r="P38" s="55">
        <v>63</v>
      </c>
      <c r="Q38" s="55" t="s">
        <v>530</v>
      </c>
      <c r="R38" s="55" t="s">
        <v>942</v>
      </c>
      <c r="S38" s="55">
        <v>108.9</v>
      </c>
      <c r="T38" s="55" t="s">
        <v>106</v>
      </c>
      <c r="U38" s="55">
        <v>3.3</v>
      </c>
      <c r="V38" s="55">
        <v>1</v>
      </c>
      <c r="W38" s="55">
        <v>4.3</v>
      </c>
      <c r="X38" s="55" t="s">
        <v>114</v>
      </c>
      <c r="Y38" s="55"/>
      <c r="AA38" s="61">
        <f t="shared" si="2"/>
        <v>24</v>
      </c>
      <c r="AB38" s="29" t="s">
        <v>71</v>
      </c>
      <c r="AC38" s="61">
        <v>63</v>
      </c>
      <c r="AD38" s="29" t="s">
        <v>304</v>
      </c>
      <c r="AE38" s="29" t="s">
        <v>485</v>
      </c>
      <c r="AF38" s="55">
        <v>61.1</v>
      </c>
      <c r="AG38" s="55" t="s">
        <v>106</v>
      </c>
      <c r="AH38" s="29">
        <v>3.5</v>
      </c>
      <c r="AI38" s="29">
        <v>1</v>
      </c>
      <c r="AJ38" s="29">
        <v>4.5</v>
      </c>
      <c r="AK38" s="29" t="s">
        <v>114</v>
      </c>
      <c r="AL38" s="61"/>
      <c r="AN38" s="29">
        <f t="shared" si="3"/>
        <v>24</v>
      </c>
      <c r="AO38" s="29" t="s">
        <v>71</v>
      </c>
      <c r="AP38" s="29">
        <v>63</v>
      </c>
      <c r="AQ38" s="29" t="s">
        <v>944</v>
      </c>
      <c r="AR38" s="29" t="s">
        <v>948</v>
      </c>
      <c r="AS38" s="55">
        <v>4.7</v>
      </c>
      <c r="AT38" s="55" t="s">
        <v>285</v>
      </c>
      <c r="AU38" s="55">
        <v>3</v>
      </c>
      <c r="AV38" s="29">
        <v>1</v>
      </c>
      <c r="AW38" s="29">
        <v>4</v>
      </c>
      <c r="AX38" s="29" t="s">
        <v>114</v>
      </c>
      <c r="AY38" s="29"/>
      <c r="BA38" s="29">
        <f t="shared" si="4"/>
        <v>24</v>
      </c>
      <c r="BB38" s="29" t="s">
        <v>71</v>
      </c>
      <c r="BC38" s="29"/>
      <c r="BD38" s="29" t="s">
        <v>949</v>
      </c>
      <c r="BE38" s="29" t="s">
        <v>950</v>
      </c>
      <c r="BF38" s="55">
        <v>71.2</v>
      </c>
      <c r="BG38" s="29" t="s">
        <v>106</v>
      </c>
      <c r="BH38" s="29">
        <v>3.3</v>
      </c>
      <c r="BI38" s="29">
        <v>1</v>
      </c>
      <c r="BJ38" s="29">
        <v>4.3</v>
      </c>
      <c r="BK38" s="29" t="s">
        <v>114</v>
      </c>
      <c r="BL38" s="29"/>
    </row>
    <row r="39" spans="1:64">
      <c r="A39" s="61">
        <f t="shared" si="0"/>
        <v>25</v>
      </c>
      <c r="B39" s="29" t="s">
        <v>71</v>
      </c>
      <c r="C39" s="29">
        <v>63</v>
      </c>
      <c r="D39" s="29" t="s">
        <v>468</v>
      </c>
      <c r="E39" s="29" t="s">
        <v>448</v>
      </c>
      <c r="F39" s="55">
        <v>92.7</v>
      </c>
      <c r="G39" s="29" t="s">
        <v>891</v>
      </c>
      <c r="H39" s="29">
        <v>3</v>
      </c>
      <c r="I39" s="29">
        <v>1</v>
      </c>
      <c r="J39" s="29">
        <v>4</v>
      </c>
      <c r="K39" s="29" t="s">
        <v>114</v>
      </c>
      <c r="L39" s="61"/>
      <c r="N39" s="55">
        <f t="shared" si="1"/>
        <v>25</v>
      </c>
      <c r="O39" s="55" t="s">
        <v>71</v>
      </c>
      <c r="P39" s="55">
        <v>63</v>
      </c>
      <c r="Q39" s="55" t="s">
        <v>942</v>
      </c>
      <c r="R39" s="55">
        <v>167</v>
      </c>
      <c r="S39" s="55">
        <v>43.2</v>
      </c>
      <c r="T39" s="55" t="s">
        <v>106</v>
      </c>
      <c r="U39" s="55">
        <v>3.3</v>
      </c>
      <c r="V39" s="55">
        <v>1</v>
      </c>
      <c r="W39" s="55">
        <v>4.3</v>
      </c>
      <c r="X39" s="55" t="s">
        <v>114</v>
      </c>
      <c r="Y39" s="55"/>
      <c r="AA39" s="61">
        <f t="shared" si="2"/>
        <v>25</v>
      </c>
      <c r="AB39" s="29" t="s">
        <v>71</v>
      </c>
      <c r="AC39" s="61">
        <v>63</v>
      </c>
      <c r="AD39" s="29" t="s">
        <v>372</v>
      </c>
      <c r="AE39" s="29" t="s">
        <v>432</v>
      </c>
      <c r="AF39" s="55">
        <v>9.4</v>
      </c>
      <c r="AG39" s="55" t="s">
        <v>106</v>
      </c>
      <c r="AH39" s="29">
        <v>3.5</v>
      </c>
      <c r="AI39" s="29">
        <v>1</v>
      </c>
      <c r="AJ39" s="29">
        <v>4.5</v>
      </c>
      <c r="AK39" s="29" t="s">
        <v>114</v>
      </c>
      <c r="AL39" s="61"/>
      <c r="AN39" s="29">
        <f t="shared" si="3"/>
        <v>25</v>
      </c>
      <c r="AO39" s="29" t="s">
        <v>71</v>
      </c>
      <c r="AP39" s="29">
        <v>63</v>
      </c>
      <c r="AQ39" s="29" t="s">
        <v>944</v>
      </c>
      <c r="AR39" s="29" t="s">
        <v>948</v>
      </c>
      <c r="AS39" s="55">
        <v>49.7</v>
      </c>
      <c r="AT39" s="55" t="s">
        <v>285</v>
      </c>
      <c r="AU39" s="55">
        <v>3</v>
      </c>
      <c r="AV39" s="29">
        <v>1</v>
      </c>
      <c r="AW39" s="29">
        <v>4</v>
      </c>
      <c r="AX39" s="29" t="s">
        <v>114</v>
      </c>
      <c r="AY39" s="29"/>
      <c r="BA39" s="29">
        <f t="shared" si="4"/>
        <v>25</v>
      </c>
      <c r="BB39" s="29" t="s">
        <v>71</v>
      </c>
      <c r="BC39" s="29"/>
      <c r="BD39" s="29" t="s">
        <v>951</v>
      </c>
      <c r="BE39" s="29" t="s">
        <v>514</v>
      </c>
      <c r="BF39" s="55">
        <v>142.5</v>
      </c>
      <c r="BG39" s="29" t="s">
        <v>106</v>
      </c>
      <c r="BH39" s="29">
        <v>3.3</v>
      </c>
      <c r="BI39" s="29">
        <v>1</v>
      </c>
      <c r="BJ39" s="29">
        <v>4.3</v>
      </c>
      <c r="BK39" s="29" t="s">
        <v>114</v>
      </c>
      <c r="BL39" s="29"/>
    </row>
    <row r="40" spans="1:64">
      <c r="A40" s="61">
        <f t="shared" si="0"/>
        <v>26</v>
      </c>
      <c r="B40" s="29" t="s">
        <v>71</v>
      </c>
      <c r="C40" s="29">
        <v>63</v>
      </c>
      <c r="D40" s="29" t="s">
        <v>468</v>
      </c>
      <c r="E40" s="29" t="s">
        <v>448</v>
      </c>
      <c r="F40" s="55">
        <v>2.5</v>
      </c>
      <c r="G40" s="29" t="s">
        <v>891</v>
      </c>
      <c r="H40" s="29">
        <v>3</v>
      </c>
      <c r="I40" s="29">
        <v>1</v>
      </c>
      <c r="J40" s="29">
        <v>4</v>
      </c>
      <c r="K40" s="29" t="s">
        <v>114</v>
      </c>
      <c r="L40" s="61"/>
      <c r="N40" s="55">
        <f t="shared" si="1"/>
        <v>26</v>
      </c>
      <c r="O40" s="55" t="s">
        <v>71</v>
      </c>
      <c r="P40" s="55">
        <v>63</v>
      </c>
      <c r="Q40" s="55" t="s">
        <v>349</v>
      </c>
      <c r="R40" s="55" t="s">
        <v>952</v>
      </c>
      <c r="S40" s="55">
        <v>21.9</v>
      </c>
      <c r="T40" s="55" t="s">
        <v>106</v>
      </c>
      <c r="U40" s="55">
        <v>3.3</v>
      </c>
      <c r="V40" s="55">
        <v>1</v>
      </c>
      <c r="W40" s="55">
        <v>4.3</v>
      </c>
      <c r="X40" s="55" t="s">
        <v>114</v>
      </c>
      <c r="Y40" s="55"/>
      <c r="AA40" s="61">
        <f t="shared" si="2"/>
        <v>26</v>
      </c>
      <c r="AB40" s="29" t="s">
        <v>71</v>
      </c>
      <c r="AC40" s="61">
        <v>63</v>
      </c>
      <c r="AD40" s="29" t="s">
        <v>432</v>
      </c>
      <c r="AE40" s="29" t="s">
        <v>345</v>
      </c>
      <c r="AF40" s="55">
        <v>109.5</v>
      </c>
      <c r="AG40" s="55" t="s">
        <v>106</v>
      </c>
      <c r="AH40" s="29">
        <v>3.5</v>
      </c>
      <c r="AI40" s="29">
        <v>1</v>
      </c>
      <c r="AJ40" s="29">
        <v>4.5</v>
      </c>
      <c r="AK40" s="29" t="s">
        <v>114</v>
      </c>
      <c r="AL40" s="61"/>
      <c r="AN40" s="29">
        <f t="shared" si="3"/>
        <v>26</v>
      </c>
      <c r="AO40" s="29" t="s">
        <v>71</v>
      </c>
      <c r="AP40" s="29">
        <v>63</v>
      </c>
      <c r="AQ40" s="29" t="s">
        <v>948</v>
      </c>
      <c r="AR40" s="29" t="s">
        <v>953</v>
      </c>
      <c r="AS40" s="55">
        <v>73.3</v>
      </c>
      <c r="AT40" s="55" t="s">
        <v>285</v>
      </c>
      <c r="AU40" s="55">
        <v>3</v>
      </c>
      <c r="AV40" s="29">
        <v>1</v>
      </c>
      <c r="AW40" s="29">
        <v>4</v>
      </c>
      <c r="AX40" s="29" t="s">
        <v>114</v>
      </c>
      <c r="AY40" s="29"/>
      <c r="BA40" s="29">
        <f t="shared" si="4"/>
        <v>26</v>
      </c>
      <c r="BB40" s="29" t="s">
        <v>71</v>
      </c>
      <c r="BC40" s="29"/>
      <c r="BD40" s="29" t="s">
        <v>950</v>
      </c>
      <c r="BE40" s="29" t="s">
        <v>947</v>
      </c>
      <c r="BF40" s="55">
        <v>21.3</v>
      </c>
      <c r="BG40" s="29" t="s">
        <v>106</v>
      </c>
      <c r="BH40" s="29">
        <v>3.3</v>
      </c>
      <c r="BI40" s="29">
        <v>1</v>
      </c>
      <c r="BJ40" s="29">
        <v>4.3</v>
      </c>
      <c r="BK40" s="29" t="s">
        <v>114</v>
      </c>
      <c r="BL40" s="29"/>
    </row>
    <row r="41" spans="1:64">
      <c r="A41" s="61">
        <f t="shared" si="0"/>
        <v>27</v>
      </c>
      <c r="B41" s="29" t="s">
        <v>71</v>
      </c>
      <c r="C41" s="29">
        <v>63</v>
      </c>
      <c r="D41" s="29" t="s">
        <v>538</v>
      </c>
      <c r="E41" s="29" t="s">
        <v>336</v>
      </c>
      <c r="F41" s="55">
        <v>15.5</v>
      </c>
      <c r="G41" s="29" t="s">
        <v>891</v>
      </c>
      <c r="H41" s="29">
        <v>3</v>
      </c>
      <c r="I41" s="29">
        <v>1</v>
      </c>
      <c r="J41" s="29">
        <v>4</v>
      </c>
      <c r="K41" s="29" t="s">
        <v>114</v>
      </c>
      <c r="L41" s="61"/>
      <c r="N41" s="55">
        <f t="shared" si="1"/>
        <v>27</v>
      </c>
      <c r="O41" s="55" t="s">
        <v>71</v>
      </c>
      <c r="P41" s="55">
        <v>63</v>
      </c>
      <c r="Q41" s="55" t="s">
        <v>952</v>
      </c>
      <c r="R41" s="55" t="s">
        <v>954</v>
      </c>
      <c r="S41" s="55">
        <v>56.9</v>
      </c>
      <c r="T41" s="55" t="s">
        <v>106</v>
      </c>
      <c r="U41" s="55">
        <v>3.3</v>
      </c>
      <c r="V41" s="55">
        <v>1</v>
      </c>
      <c r="W41" s="55">
        <v>4.3</v>
      </c>
      <c r="X41" s="55" t="s">
        <v>114</v>
      </c>
      <c r="Y41" s="55"/>
      <c r="AA41" s="61">
        <f t="shared" si="2"/>
        <v>27</v>
      </c>
      <c r="AB41" s="29" t="s">
        <v>71</v>
      </c>
      <c r="AC41" s="61">
        <v>63</v>
      </c>
      <c r="AD41" s="29" t="s">
        <v>301</v>
      </c>
      <c r="AE41" s="29" t="s">
        <v>496</v>
      </c>
      <c r="AF41" s="55">
        <v>40</v>
      </c>
      <c r="AG41" s="55" t="s">
        <v>106</v>
      </c>
      <c r="AH41" s="29">
        <v>3.5</v>
      </c>
      <c r="AI41" s="29">
        <v>1</v>
      </c>
      <c r="AJ41" s="29">
        <v>4.5</v>
      </c>
      <c r="AK41" s="29" t="s">
        <v>114</v>
      </c>
      <c r="AL41" s="61"/>
      <c r="AN41" s="29">
        <f t="shared" si="3"/>
        <v>27</v>
      </c>
      <c r="AO41" s="29" t="s">
        <v>71</v>
      </c>
      <c r="AP41" s="29">
        <v>63</v>
      </c>
      <c r="AQ41" s="29" t="s">
        <v>948</v>
      </c>
      <c r="AR41" s="29" t="s">
        <v>955</v>
      </c>
      <c r="AS41" s="55">
        <v>114.5</v>
      </c>
      <c r="AT41" s="55" t="s">
        <v>285</v>
      </c>
      <c r="AU41" s="55">
        <v>3</v>
      </c>
      <c r="AV41" s="29">
        <v>1</v>
      </c>
      <c r="AW41" s="29">
        <v>4</v>
      </c>
      <c r="AX41" s="29" t="s">
        <v>114</v>
      </c>
      <c r="AY41" s="29"/>
      <c r="BA41" s="29">
        <f t="shared" si="4"/>
        <v>27</v>
      </c>
      <c r="BB41" s="29" t="s">
        <v>71</v>
      </c>
      <c r="BC41" s="29"/>
      <c r="BD41" s="29" t="s">
        <v>947</v>
      </c>
      <c r="BE41" s="29" t="s">
        <v>956</v>
      </c>
      <c r="BF41" s="55">
        <v>68.599999999999994</v>
      </c>
      <c r="BG41" s="29" t="s">
        <v>106</v>
      </c>
      <c r="BH41" s="29">
        <v>3.3</v>
      </c>
      <c r="BI41" s="29">
        <v>1</v>
      </c>
      <c r="BJ41" s="29">
        <v>4.3</v>
      </c>
      <c r="BK41" s="29" t="s">
        <v>114</v>
      </c>
      <c r="BL41" s="29"/>
    </row>
    <row r="42" spans="1:64">
      <c r="A42" s="61">
        <f t="shared" si="0"/>
        <v>28</v>
      </c>
      <c r="B42" s="29" t="s">
        <v>71</v>
      </c>
      <c r="C42" s="29">
        <v>63</v>
      </c>
      <c r="D42" s="29" t="s">
        <v>293</v>
      </c>
      <c r="E42" s="29" t="s">
        <v>329</v>
      </c>
      <c r="F42" s="55">
        <v>33.5</v>
      </c>
      <c r="G42" s="29" t="s">
        <v>891</v>
      </c>
      <c r="H42" s="29">
        <v>3</v>
      </c>
      <c r="I42" s="29">
        <v>1</v>
      </c>
      <c r="J42" s="29">
        <v>4</v>
      </c>
      <c r="K42" s="29" t="s">
        <v>114</v>
      </c>
      <c r="L42" s="61"/>
      <c r="N42" s="55">
        <f t="shared" si="1"/>
        <v>28</v>
      </c>
      <c r="O42" s="55" t="s">
        <v>71</v>
      </c>
      <c r="P42" s="55">
        <v>63</v>
      </c>
      <c r="Q42" s="55" t="s">
        <v>952</v>
      </c>
      <c r="R42" s="55" t="s">
        <v>949</v>
      </c>
      <c r="S42" s="55">
        <v>12.9</v>
      </c>
      <c r="T42" s="55" t="s">
        <v>106</v>
      </c>
      <c r="U42" s="55">
        <v>3.3</v>
      </c>
      <c r="V42" s="55">
        <v>1</v>
      </c>
      <c r="W42" s="55">
        <v>4.3</v>
      </c>
      <c r="X42" s="55" t="s">
        <v>114</v>
      </c>
      <c r="Y42" s="55"/>
      <c r="AA42" s="61">
        <f t="shared" si="2"/>
        <v>28</v>
      </c>
      <c r="AB42" s="29" t="s">
        <v>71</v>
      </c>
      <c r="AC42" s="61">
        <v>63</v>
      </c>
      <c r="AD42" s="29" t="s">
        <v>496</v>
      </c>
      <c r="AE42" s="29" t="s">
        <v>501</v>
      </c>
      <c r="AF42" s="55">
        <v>23.7</v>
      </c>
      <c r="AG42" s="55" t="s">
        <v>106</v>
      </c>
      <c r="AH42" s="29">
        <v>3.5</v>
      </c>
      <c r="AI42" s="29">
        <v>1</v>
      </c>
      <c r="AJ42" s="29">
        <v>4.5</v>
      </c>
      <c r="AK42" s="29" t="s">
        <v>114</v>
      </c>
      <c r="AL42" s="61"/>
      <c r="AN42" s="29">
        <f t="shared" si="3"/>
        <v>28</v>
      </c>
      <c r="AO42" s="29" t="s">
        <v>71</v>
      </c>
      <c r="AP42" s="29">
        <v>63</v>
      </c>
      <c r="AQ42" s="29" t="s">
        <v>955</v>
      </c>
      <c r="AR42" s="29" t="s">
        <v>957</v>
      </c>
      <c r="AS42" s="55">
        <v>56</v>
      </c>
      <c r="AT42" s="55" t="s">
        <v>285</v>
      </c>
      <c r="AU42" s="55">
        <v>3</v>
      </c>
      <c r="AV42" s="29">
        <v>1</v>
      </c>
      <c r="AW42" s="29">
        <v>4</v>
      </c>
      <c r="AX42" s="29" t="s">
        <v>114</v>
      </c>
      <c r="AY42" s="29"/>
      <c r="BA42" s="29">
        <f t="shared" si="4"/>
        <v>28</v>
      </c>
      <c r="BB42" s="29" t="s">
        <v>71</v>
      </c>
      <c r="BC42" s="29"/>
      <c r="BD42" s="29" t="s">
        <v>514</v>
      </c>
      <c r="BE42" s="29" t="s">
        <v>958</v>
      </c>
      <c r="BF42" s="55">
        <v>28.4</v>
      </c>
      <c r="BG42" s="29" t="s">
        <v>106</v>
      </c>
      <c r="BH42" s="29">
        <v>3.3</v>
      </c>
      <c r="BI42" s="29">
        <v>1</v>
      </c>
      <c r="BJ42" s="29">
        <v>4.3</v>
      </c>
      <c r="BK42" s="29" t="s">
        <v>114</v>
      </c>
      <c r="BL42" s="29"/>
    </row>
    <row r="43" spans="1:64">
      <c r="A43" s="61">
        <f t="shared" si="0"/>
        <v>29</v>
      </c>
      <c r="B43" s="29" t="s">
        <v>71</v>
      </c>
      <c r="C43" s="29">
        <v>63</v>
      </c>
      <c r="D43" s="29" t="s">
        <v>293</v>
      </c>
      <c r="E43" s="29" t="s">
        <v>363</v>
      </c>
      <c r="F43" s="55">
        <v>22.4</v>
      </c>
      <c r="G43" s="29" t="s">
        <v>891</v>
      </c>
      <c r="H43" s="29">
        <v>3</v>
      </c>
      <c r="I43" s="29">
        <v>1</v>
      </c>
      <c r="J43" s="29">
        <v>4</v>
      </c>
      <c r="K43" s="29" t="s">
        <v>114</v>
      </c>
      <c r="L43" s="61"/>
      <c r="N43" s="55">
        <f t="shared" si="1"/>
        <v>29</v>
      </c>
      <c r="O43" s="55" t="s">
        <v>71</v>
      </c>
      <c r="P43" s="55">
        <v>63</v>
      </c>
      <c r="Q43" s="55" t="s">
        <v>333</v>
      </c>
      <c r="R43" s="55" t="s">
        <v>441</v>
      </c>
      <c r="S43" s="55">
        <v>48.6</v>
      </c>
      <c r="T43" s="55" t="s">
        <v>106</v>
      </c>
      <c r="U43" s="55">
        <v>3.3</v>
      </c>
      <c r="V43" s="55">
        <v>1</v>
      </c>
      <c r="W43" s="55">
        <v>4.3</v>
      </c>
      <c r="X43" s="55" t="s">
        <v>114</v>
      </c>
      <c r="Y43" s="55"/>
      <c r="AA43" s="61">
        <f t="shared" si="2"/>
        <v>29</v>
      </c>
      <c r="AB43" s="29" t="s">
        <v>71</v>
      </c>
      <c r="AC43" s="61">
        <v>63</v>
      </c>
      <c r="AD43" s="29" t="s">
        <v>496</v>
      </c>
      <c r="AE43" s="29" t="s">
        <v>488</v>
      </c>
      <c r="AF43" s="55">
        <v>51.3</v>
      </c>
      <c r="AG43" s="55" t="s">
        <v>106</v>
      </c>
      <c r="AH43" s="29">
        <v>3.5</v>
      </c>
      <c r="AI43" s="29">
        <v>1</v>
      </c>
      <c r="AJ43" s="29">
        <v>4.5</v>
      </c>
      <c r="AK43" s="29" t="s">
        <v>114</v>
      </c>
      <c r="AL43" s="61"/>
      <c r="AN43" s="29">
        <f t="shared" si="3"/>
        <v>29</v>
      </c>
      <c r="AO43" s="29" t="s">
        <v>71</v>
      </c>
      <c r="AP43" s="29">
        <v>63</v>
      </c>
      <c r="AQ43" s="29" t="s">
        <v>955</v>
      </c>
      <c r="AR43" s="29" t="s">
        <v>340</v>
      </c>
      <c r="AS43" s="55">
        <v>61</v>
      </c>
      <c r="AT43" s="55" t="s">
        <v>285</v>
      </c>
      <c r="AU43" s="55">
        <v>3</v>
      </c>
      <c r="AV43" s="29">
        <v>1</v>
      </c>
      <c r="AW43" s="29">
        <v>4</v>
      </c>
      <c r="AX43" s="29" t="s">
        <v>114</v>
      </c>
      <c r="AY43" s="29"/>
      <c r="BA43" s="29">
        <f t="shared" si="4"/>
        <v>29</v>
      </c>
      <c r="BB43" s="29" t="s">
        <v>71</v>
      </c>
      <c r="BC43" s="29"/>
      <c r="BD43" s="29" t="s">
        <v>958</v>
      </c>
      <c r="BE43" s="29" t="s">
        <v>346</v>
      </c>
      <c r="BF43" s="55">
        <v>109.8</v>
      </c>
      <c r="BG43" s="29" t="s">
        <v>106</v>
      </c>
      <c r="BH43" s="29">
        <v>3.3</v>
      </c>
      <c r="BI43" s="29">
        <v>1</v>
      </c>
      <c r="BJ43" s="29">
        <v>4.3</v>
      </c>
      <c r="BK43" s="29" t="s">
        <v>114</v>
      </c>
      <c r="BL43" s="29"/>
    </row>
    <row r="44" spans="1:64">
      <c r="A44" s="61">
        <f t="shared" si="0"/>
        <v>30</v>
      </c>
      <c r="B44" s="29" t="s">
        <v>71</v>
      </c>
      <c r="C44" s="29">
        <v>63</v>
      </c>
      <c r="D44" s="29" t="s">
        <v>363</v>
      </c>
      <c r="E44" s="29" t="s">
        <v>351</v>
      </c>
      <c r="F44" s="55">
        <v>84.1</v>
      </c>
      <c r="G44" s="29" t="s">
        <v>891</v>
      </c>
      <c r="H44" s="29">
        <v>3</v>
      </c>
      <c r="I44" s="29">
        <v>1</v>
      </c>
      <c r="J44" s="29">
        <v>4</v>
      </c>
      <c r="K44" s="29" t="s">
        <v>114</v>
      </c>
      <c r="L44" s="61"/>
      <c r="N44" s="55">
        <f t="shared" si="1"/>
        <v>30</v>
      </c>
      <c r="O44" s="55" t="s">
        <v>71</v>
      </c>
      <c r="P44" s="55">
        <v>63</v>
      </c>
      <c r="Q44" s="55" t="s">
        <v>441</v>
      </c>
      <c r="R44" s="55" t="s">
        <v>959</v>
      </c>
      <c r="S44" s="55">
        <v>81.8</v>
      </c>
      <c r="T44" s="55" t="s">
        <v>106</v>
      </c>
      <c r="U44" s="55">
        <v>3.3</v>
      </c>
      <c r="V44" s="55">
        <v>1</v>
      </c>
      <c r="W44" s="55">
        <v>4.3</v>
      </c>
      <c r="X44" s="55" t="s">
        <v>114</v>
      </c>
      <c r="Y44" s="55"/>
      <c r="AA44" s="61">
        <f t="shared" si="2"/>
        <v>30</v>
      </c>
      <c r="AB44" s="29" t="s">
        <v>71</v>
      </c>
      <c r="AC44" s="61">
        <v>63</v>
      </c>
      <c r="AD44" s="29" t="s">
        <v>495</v>
      </c>
      <c r="AE44" s="29" t="s">
        <v>960</v>
      </c>
      <c r="AF44" s="55">
        <v>7</v>
      </c>
      <c r="AG44" s="55" t="s">
        <v>106</v>
      </c>
      <c r="AH44" s="29">
        <v>3.5</v>
      </c>
      <c r="AI44" s="29">
        <v>1</v>
      </c>
      <c r="AJ44" s="29">
        <v>4.5</v>
      </c>
      <c r="AK44" s="29" t="s">
        <v>114</v>
      </c>
      <c r="AL44" s="61"/>
      <c r="AN44" s="29">
        <f t="shared" si="3"/>
        <v>30</v>
      </c>
      <c r="AO44" s="29" t="s">
        <v>71</v>
      </c>
      <c r="AP44" s="29">
        <v>63</v>
      </c>
      <c r="AQ44" s="29" t="s">
        <v>961</v>
      </c>
      <c r="AR44" s="29" t="s">
        <v>962</v>
      </c>
      <c r="AS44" s="55">
        <v>51.9</v>
      </c>
      <c r="AT44" s="55" t="s">
        <v>285</v>
      </c>
      <c r="AU44" s="55">
        <v>3</v>
      </c>
      <c r="AV44" s="29">
        <v>1</v>
      </c>
      <c r="AW44" s="29">
        <v>4</v>
      </c>
      <c r="AX44" s="29" t="s">
        <v>114</v>
      </c>
      <c r="AY44" s="29"/>
      <c r="BA44" s="29">
        <f t="shared" si="4"/>
        <v>30</v>
      </c>
      <c r="BB44" s="29" t="s">
        <v>71</v>
      </c>
      <c r="BC44" s="29"/>
      <c r="BD44" s="29" t="s">
        <v>346</v>
      </c>
      <c r="BE44" s="29" t="s">
        <v>483</v>
      </c>
      <c r="BF44" s="55">
        <v>61.7</v>
      </c>
      <c r="BG44" s="29" t="s">
        <v>106</v>
      </c>
      <c r="BH44" s="29">
        <v>3.3</v>
      </c>
      <c r="BI44" s="29">
        <v>1</v>
      </c>
      <c r="BJ44" s="29">
        <v>4.3</v>
      </c>
      <c r="BK44" s="29" t="s">
        <v>114</v>
      </c>
      <c r="BL44" s="29"/>
    </row>
    <row r="45" spans="1:64">
      <c r="A45" s="61">
        <f t="shared" si="0"/>
        <v>31</v>
      </c>
      <c r="B45" s="29" t="s">
        <v>71</v>
      </c>
      <c r="C45" s="29">
        <v>63</v>
      </c>
      <c r="D45" s="29" t="s">
        <v>448</v>
      </c>
      <c r="E45" s="29" t="s">
        <v>293</v>
      </c>
      <c r="F45" s="55">
        <v>64.900000000000006</v>
      </c>
      <c r="G45" s="29" t="s">
        <v>891</v>
      </c>
      <c r="H45" s="29">
        <v>3</v>
      </c>
      <c r="I45" s="29">
        <v>1</v>
      </c>
      <c r="J45" s="29">
        <v>4</v>
      </c>
      <c r="K45" s="29" t="s">
        <v>114</v>
      </c>
      <c r="L45" s="61"/>
      <c r="N45" s="55">
        <f t="shared" si="1"/>
        <v>31</v>
      </c>
      <c r="O45" s="55" t="s">
        <v>71</v>
      </c>
      <c r="P45" s="55">
        <v>63</v>
      </c>
      <c r="Q45" s="55" t="s">
        <v>959</v>
      </c>
      <c r="R45" s="55" t="s">
        <v>492</v>
      </c>
      <c r="S45" s="55">
        <v>128.1</v>
      </c>
      <c r="T45" s="55" t="s">
        <v>106</v>
      </c>
      <c r="U45" s="55">
        <v>3.3</v>
      </c>
      <c r="V45" s="55">
        <v>1</v>
      </c>
      <c r="W45" s="55">
        <v>4.3</v>
      </c>
      <c r="X45" s="55" t="s">
        <v>114</v>
      </c>
      <c r="Y45" s="55"/>
      <c r="AA45" s="61">
        <f t="shared" si="2"/>
        <v>31</v>
      </c>
      <c r="AB45" s="29" t="s">
        <v>71</v>
      </c>
      <c r="AC45" s="61">
        <v>63</v>
      </c>
      <c r="AD45" s="29" t="s">
        <v>495</v>
      </c>
      <c r="AE45" s="29" t="s">
        <v>960</v>
      </c>
      <c r="AF45" s="55">
        <f>21-AF44</f>
        <v>14</v>
      </c>
      <c r="AG45" s="55" t="s">
        <v>106</v>
      </c>
      <c r="AH45" s="29">
        <v>3.5</v>
      </c>
      <c r="AI45" s="29">
        <v>1</v>
      </c>
      <c r="AJ45" s="29">
        <v>4.5</v>
      </c>
      <c r="AK45" s="29" t="s">
        <v>114</v>
      </c>
      <c r="AL45" s="61"/>
      <c r="AN45" s="29">
        <f t="shared" si="3"/>
        <v>31</v>
      </c>
      <c r="AO45" s="29" t="s">
        <v>71</v>
      </c>
      <c r="AP45" s="29">
        <v>63</v>
      </c>
      <c r="AQ45" s="29" t="s">
        <v>961</v>
      </c>
      <c r="AR45" s="29" t="s">
        <v>939</v>
      </c>
      <c r="AS45" s="55">
        <v>45.2</v>
      </c>
      <c r="AT45" s="55" t="s">
        <v>285</v>
      </c>
      <c r="AU45" s="55">
        <v>3</v>
      </c>
      <c r="AV45" s="29">
        <v>1</v>
      </c>
      <c r="AW45" s="29">
        <v>4</v>
      </c>
      <c r="AX45" s="29" t="s">
        <v>114</v>
      </c>
      <c r="AY45" s="29"/>
      <c r="BA45" s="29">
        <f t="shared" si="4"/>
        <v>31</v>
      </c>
      <c r="BB45" s="29" t="s">
        <v>71</v>
      </c>
      <c r="BC45" s="29"/>
      <c r="BD45" s="29" t="s">
        <v>958</v>
      </c>
      <c r="BE45" s="29" t="s">
        <v>963</v>
      </c>
      <c r="BF45" s="55">
        <v>82.3</v>
      </c>
      <c r="BG45" s="29" t="s">
        <v>106</v>
      </c>
      <c r="BH45" s="29">
        <v>3.3</v>
      </c>
      <c r="BI45" s="29">
        <v>1</v>
      </c>
      <c r="BJ45" s="29">
        <v>4.3</v>
      </c>
      <c r="BK45" s="29" t="s">
        <v>114</v>
      </c>
      <c r="BL45" s="29"/>
    </row>
    <row r="46" spans="1:64">
      <c r="A46" s="61">
        <f t="shared" si="0"/>
        <v>32</v>
      </c>
      <c r="B46" s="29" t="s">
        <v>71</v>
      </c>
      <c r="C46" s="29">
        <v>63</v>
      </c>
      <c r="D46" s="29" t="s">
        <v>964</v>
      </c>
      <c r="E46" s="29" t="s">
        <v>965</v>
      </c>
      <c r="F46" s="55">
        <v>24</v>
      </c>
      <c r="G46" s="29" t="s">
        <v>891</v>
      </c>
      <c r="H46" s="29">
        <v>3</v>
      </c>
      <c r="I46" s="29">
        <v>1</v>
      </c>
      <c r="J46" s="29">
        <v>4</v>
      </c>
      <c r="K46" s="29" t="s">
        <v>114</v>
      </c>
      <c r="L46" s="61"/>
      <c r="N46" s="55">
        <f t="shared" si="1"/>
        <v>32</v>
      </c>
      <c r="O46" s="55" t="s">
        <v>71</v>
      </c>
      <c r="P46" s="55">
        <v>63</v>
      </c>
      <c r="Q46" s="55" t="s">
        <v>959</v>
      </c>
      <c r="R46" s="55" t="s">
        <v>492</v>
      </c>
      <c r="S46" s="55">
        <f>84.5+26</f>
        <v>110.5</v>
      </c>
      <c r="T46" s="55" t="s">
        <v>106</v>
      </c>
      <c r="U46" s="55">
        <v>3.3</v>
      </c>
      <c r="V46" s="55">
        <v>1</v>
      </c>
      <c r="W46" s="55">
        <v>4.3</v>
      </c>
      <c r="X46" s="55" t="s">
        <v>114</v>
      </c>
      <c r="Y46" s="55"/>
      <c r="AA46" s="61">
        <f t="shared" si="2"/>
        <v>32</v>
      </c>
      <c r="AB46" s="29" t="s">
        <v>71</v>
      </c>
      <c r="AC46" s="61">
        <v>63</v>
      </c>
      <c r="AD46" s="29" t="s">
        <v>495</v>
      </c>
      <c r="AE46" s="29" t="s">
        <v>966</v>
      </c>
      <c r="AF46" s="55">
        <v>165</v>
      </c>
      <c r="AG46" s="55" t="s">
        <v>106</v>
      </c>
      <c r="AH46" s="29">
        <v>3.5</v>
      </c>
      <c r="AI46" s="29">
        <v>1</v>
      </c>
      <c r="AJ46" s="29">
        <v>4.5</v>
      </c>
      <c r="AK46" s="29" t="s">
        <v>114</v>
      </c>
      <c r="AL46" s="61"/>
      <c r="AN46" s="29">
        <f t="shared" si="3"/>
        <v>32</v>
      </c>
      <c r="AO46" s="29" t="s">
        <v>71</v>
      </c>
      <c r="AP46" s="29">
        <v>63</v>
      </c>
      <c r="AQ46" s="29" t="s">
        <v>939</v>
      </c>
      <c r="AR46" s="29" t="s">
        <v>967</v>
      </c>
      <c r="AS46" s="55">
        <v>23.2</v>
      </c>
      <c r="AT46" s="55" t="s">
        <v>285</v>
      </c>
      <c r="AU46" s="55">
        <v>3</v>
      </c>
      <c r="AV46" s="29">
        <v>1</v>
      </c>
      <c r="AW46" s="29">
        <v>4</v>
      </c>
      <c r="AX46" s="29" t="s">
        <v>114</v>
      </c>
      <c r="AY46" s="29"/>
      <c r="BA46" s="29">
        <f t="shared" si="4"/>
        <v>32</v>
      </c>
      <c r="BB46" s="29" t="s">
        <v>71</v>
      </c>
      <c r="BC46" s="29"/>
      <c r="BD46" s="29" t="s">
        <v>963</v>
      </c>
      <c r="BE46" s="29" t="s">
        <v>968</v>
      </c>
      <c r="BF46" s="55">
        <v>144.5</v>
      </c>
      <c r="BG46" s="29" t="s">
        <v>106</v>
      </c>
      <c r="BH46" s="29">
        <v>3.3</v>
      </c>
      <c r="BI46" s="29">
        <v>1</v>
      </c>
      <c r="BJ46" s="29">
        <v>4.3</v>
      </c>
      <c r="BK46" s="29" t="s">
        <v>114</v>
      </c>
      <c r="BL46" s="29"/>
    </row>
    <row r="47" spans="1:64">
      <c r="A47" s="61">
        <f t="shared" si="0"/>
        <v>33</v>
      </c>
      <c r="B47" s="29" t="s">
        <v>71</v>
      </c>
      <c r="C47" s="29">
        <v>63</v>
      </c>
      <c r="D47" s="29" t="s">
        <v>532</v>
      </c>
      <c r="E47" s="29" t="s">
        <v>946</v>
      </c>
      <c r="F47" s="55">
        <v>83.6</v>
      </c>
      <c r="G47" s="29" t="s">
        <v>891</v>
      </c>
      <c r="H47" s="29">
        <v>3</v>
      </c>
      <c r="I47" s="29">
        <v>1</v>
      </c>
      <c r="J47" s="29">
        <v>4</v>
      </c>
      <c r="K47" s="29" t="s">
        <v>114</v>
      </c>
      <c r="L47" s="61"/>
      <c r="N47" s="55">
        <f t="shared" si="1"/>
        <v>33</v>
      </c>
      <c r="O47" s="55" t="s">
        <v>71</v>
      </c>
      <c r="P47" s="55">
        <v>63</v>
      </c>
      <c r="Q47" s="55" t="s">
        <v>959</v>
      </c>
      <c r="R47" s="55" t="s">
        <v>492</v>
      </c>
      <c r="S47" s="55">
        <f>38.6+10.4</f>
        <v>49</v>
      </c>
      <c r="T47" s="55" t="s">
        <v>106</v>
      </c>
      <c r="U47" s="55">
        <v>3.3</v>
      </c>
      <c r="V47" s="55">
        <v>1</v>
      </c>
      <c r="W47" s="55">
        <v>4.3</v>
      </c>
      <c r="X47" s="55" t="s">
        <v>114</v>
      </c>
      <c r="Y47" s="55"/>
      <c r="AA47" s="61">
        <f t="shared" si="2"/>
        <v>33</v>
      </c>
      <c r="AB47" s="29" t="s">
        <v>71</v>
      </c>
      <c r="AC47" s="61">
        <v>63</v>
      </c>
      <c r="AD47" s="29" t="s">
        <v>495</v>
      </c>
      <c r="AE47" s="29" t="s">
        <v>966</v>
      </c>
      <c r="AF47" s="55">
        <v>26.3</v>
      </c>
      <c r="AG47" s="55" t="s">
        <v>106</v>
      </c>
      <c r="AH47" s="29">
        <v>3.5</v>
      </c>
      <c r="AI47" s="29">
        <v>1</v>
      </c>
      <c r="AJ47" s="29">
        <v>4.5</v>
      </c>
      <c r="AK47" s="29" t="s">
        <v>114</v>
      </c>
      <c r="AL47" s="61"/>
      <c r="AN47" s="29">
        <f t="shared" si="3"/>
        <v>33</v>
      </c>
      <c r="AO47" s="29" t="s">
        <v>71</v>
      </c>
      <c r="AP47" s="29">
        <v>63</v>
      </c>
      <c r="AQ47" s="29" t="s">
        <v>967</v>
      </c>
      <c r="AR47" s="29" t="s">
        <v>969</v>
      </c>
      <c r="AS47" s="55">
        <v>35.5</v>
      </c>
      <c r="AT47" s="55" t="s">
        <v>285</v>
      </c>
      <c r="AU47" s="55">
        <v>3</v>
      </c>
      <c r="AV47" s="29">
        <v>1</v>
      </c>
      <c r="AW47" s="29">
        <v>4</v>
      </c>
      <c r="AX47" s="29" t="s">
        <v>114</v>
      </c>
      <c r="AY47" s="29"/>
      <c r="BA47" s="29">
        <f t="shared" si="4"/>
        <v>33</v>
      </c>
      <c r="BB47" s="29" t="s">
        <v>71</v>
      </c>
      <c r="BC47" s="29"/>
      <c r="BD47" s="29" t="s">
        <v>956</v>
      </c>
      <c r="BE47" s="29" t="s">
        <v>894</v>
      </c>
      <c r="BF47" s="55">
        <v>149.6</v>
      </c>
      <c r="BG47" s="29" t="s">
        <v>106</v>
      </c>
      <c r="BH47" s="29">
        <v>3.3</v>
      </c>
      <c r="BI47" s="29">
        <v>1</v>
      </c>
      <c r="BJ47" s="29">
        <v>4.3</v>
      </c>
      <c r="BK47" s="29" t="s">
        <v>114</v>
      </c>
      <c r="BL47" s="29"/>
    </row>
    <row r="48" spans="1:64">
      <c r="A48" s="61">
        <f t="shared" si="0"/>
        <v>34</v>
      </c>
      <c r="B48" s="29" t="s">
        <v>71</v>
      </c>
      <c r="C48" s="29">
        <v>63</v>
      </c>
      <c r="D48" s="29" t="s">
        <v>946</v>
      </c>
      <c r="E48" s="29" t="s">
        <v>970</v>
      </c>
      <c r="F48" s="55">
        <v>8.1999999999999993</v>
      </c>
      <c r="G48" s="29" t="s">
        <v>891</v>
      </c>
      <c r="H48" s="29">
        <v>3</v>
      </c>
      <c r="I48" s="29">
        <v>1</v>
      </c>
      <c r="J48" s="29">
        <v>4</v>
      </c>
      <c r="K48" s="29" t="s">
        <v>114</v>
      </c>
      <c r="L48" s="61"/>
      <c r="N48" s="55">
        <f t="shared" si="1"/>
        <v>34</v>
      </c>
      <c r="O48" s="55" t="s">
        <v>71</v>
      </c>
      <c r="P48" s="55">
        <v>63</v>
      </c>
      <c r="Q48" s="55" t="s">
        <v>323</v>
      </c>
      <c r="R48" s="55" t="s">
        <v>291</v>
      </c>
      <c r="S48" s="55">
        <v>40</v>
      </c>
      <c r="T48" s="55" t="s">
        <v>106</v>
      </c>
      <c r="U48" s="55">
        <v>3.3</v>
      </c>
      <c r="V48" s="55">
        <v>1</v>
      </c>
      <c r="W48" s="55">
        <v>4.3</v>
      </c>
      <c r="X48" s="55" t="s">
        <v>114</v>
      </c>
      <c r="Y48" s="55"/>
      <c r="AA48" s="61">
        <f t="shared" si="2"/>
        <v>34</v>
      </c>
      <c r="AB48" s="29" t="s">
        <v>71</v>
      </c>
      <c r="AC48" s="61">
        <v>63</v>
      </c>
      <c r="AD48" s="29" t="s">
        <v>301</v>
      </c>
      <c r="AE48" s="29" t="s">
        <v>971</v>
      </c>
      <c r="AF48" s="55">
        <v>55.3</v>
      </c>
      <c r="AG48" s="55" t="s">
        <v>106</v>
      </c>
      <c r="AH48" s="29">
        <v>3.5</v>
      </c>
      <c r="AI48" s="29">
        <v>1</v>
      </c>
      <c r="AJ48" s="29">
        <v>4.5</v>
      </c>
      <c r="AK48" s="29" t="s">
        <v>114</v>
      </c>
      <c r="AL48" s="61"/>
      <c r="AN48" s="29">
        <f t="shared" si="3"/>
        <v>34</v>
      </c>
      <c r="AO48" s="29" t="s">
        <v>71</v>
      </c>
      <c r="AP48" s="29">
        <v>63</v>
      </c>
      <c r="AQ48" s="29" t="s">
        <v>967</v>
      </c>
      <c r="AR48" s="29" t="s">
        <v>969</v>
      </c>
      <c r="AS48" s="55">
        <v>76.900000000000006</v>
      </c>
      <c r="AT48" s="55" t="s">
        <v>285</v>
      </c>
      <c r="AU48" s="55">
        <v>3</v>
      </c>
      <c r="AV48" s="29">
        <v>1</v>
      </c>
      <c r="AW48" s="29">
        <v>4</v>
      </c>
      <c r="AX48" s="29" t="s">
        <v>114</v>
      </c>
      <c r="AY48" s="29"/>
      <c r="BA48" s="29">
        <f t="shared" si="4"/>
        <v>34</v>
      </c>
      <c r="BB48" s="29" t="s">
        <v>71</v>
      </c>
      <c r="BC48" s="29"/>
      <c r="BD48" s="29" t="s">
        <v>364</v>
      </c>
      <c r="BE48" s="29" t="s">
        <v>972</v>
      </c>
      <c r="BF48" s="55">
        <f>21.1-BF53</f>
        <v>14.100000000000001</v>
      </c>
      <c r="BG48" s="29" t="s">
        <v>106</v>
      </c>
      <c r="BH48" s="29">
        <v>3.3</v>
      </c>
      <c r="BI48" s="29">
        <v>1</v>
      </c>
      <c r="BJ48" s="29">
        <v>4.3</v>
      </c>
      <c r="BK48" s="29" t="s">
        <v>114</v>
      </c>
      <c r="BL48" s="29"/>
    </row>
    <row r="49" spans="1:64">
      <c r="A49" s="61">
        <f t="shared" si="0"/>
        <v>35</v>
      </c>
      <c r="B49" s="29" t="s">
        <v>71</v>
      </c>
      <c r="C49" s="29">
        <v>63</v>
      </c>
      <c r="D49" s="29" t="s">
        <v>970</v>
      </c>
      <c r="E49" s="29" t="s">
        <v>973</v>
      </c>
      <c r="F49" s="55">
        <v>20.100000000000001</v>
      </c>
      <c r="G49" s="29" t="s">
        <v>891</v>
      </c>
      <c r="H49" s="29">
        <v>3</v>
      </c>
      <c r="I49" s="29">
        <v>1</v>
      </c>
      <c r="J49" s="29">
        <v>4</v>
      </c>
      <c r="K49" s="29" t="s">
        <v>114</v>
      </c>
      <c r="L49" s="61"/>
      <c r="N49" s="55">
        <f t="shared" si="1"/>
        <v>35</v>
      </c>
      <c r="O49" s="55" t="s">
        <v>71</v>
      </c>
      <c r="P49" s="55">
        <v>63</v>
      </c>
      <c r="Q49" s="55" t="s">
        <v>441</v>
      </c>
      <c r="R49" s="55" t="s">
        <v>325</v>
      </c>
      <c r="S49" s="55">
        <v>5</v>
      </c>
      <c r="T49" s="55" t="s">
        <v>106</v>
      </c>
      <c r="U49" s="55">
        <v>3.3</v>
      </c>
      <c r="V49" s="55">
        <v>1</v>
      </c>
      <c r="W49" s="55">
        <v>4.3</v>
      </c>
      <c r="X49" s="55" t="s">
        <v>114</v>
      </c>
      <c r="Y49" s="55"/>
      <c r="AA49" s="61">
        <f t="shared" si="2"/>
        <v>35</v>
      </c>
      <c r="AB49" s="29" t="s">
        <v>71</v>
      </c>
      <c r="AC49" s="61">
        <v>63</v>
      </c>
      <c r="AD49" s="29" t="s">
        <v>893</v>
      </c>
      <c r="AE49" s="29" t="s">
        <v>299</v>
      </c>
      <c r="AF49" s="55">
        <v>154</v>
      </c>
      <c r="AG49" s="55" t="s">
        <v>106</v>
      </c>
      <c r="AH49" s="29">
        <v>3.5</v>
      </c>
      <c r="AI49" s="29">
        <v>1</v>
      </c>
      <c r="AJ49" s="29">
        <v>4.5</v>
      </c>
      <c r="AK49" s="29" t="s">
        <v>114</v>
      </c>
      <c r="AL49" s="61"/>
      <c r="AN49" s="29">
        <f t="shared" si="3"/>
        <v>35</v>
      </c>
      <c r="AO49" s="29" t="s">
        <v>71</v>
      </c>
      <c r="AP49" s="29">
        <v>63</v>
      </c>
      <c r="AQ49" s="29" t="s">
        <v>974</v>
      </c>
      <c r="AR49" s="29" t="s">
        <v>975</v>
      </c>
      <c r="AS49" s="55">
        <v>15.8</v>
      </c>
      <c r="AT49" s="55" t="s">
        <v>285</v>
      </c>
      <c r="AU49" s="55">
        <v>3</v>
      </c>
      <c r="AV49" s="29">
        <v>1</v>
      </c>
      <c r="AW49" s="29">
        <v>4</v>
      </c>
      <c r="AX49" s="29" t="s">
        <v>114</v>
      </c>
      <c r="AY49" s="29"/>
      <c r="BA49" s="29">
        <f t="shared" si="4"/>
        <v>35</v>
      </c>
      <c r="BB49" s="29" t="s">
        <v>71</v>
      </c>
      <c r="BC49" s="29"/>
      <c r="BD49" s="29" t="s">
        <v>976</v>
      </c>
      <c r="BE49" s="29" t="s">
        <v>977</v>
      </c>
      <c r="BF49" s="55">
        <v>124</v>
      </c>
      <c r="BG49" s="29" t="s">
        <v>106</v>
      </c>
      <c r="BH49" s="29">
        <v>3.3</v>
      </c>
      <c r="BI49" s="29">
        <v>1</v>
      </c>
      <c r="BJ49" s="29">
        <v>4.3</v>
      </c>
      <c r="BK49" s="29" t="s">
        <v>114</v>
      </c>
      <c r="BL49" s="29"/>
    </row>
    <row r="50" spans="1:64">
      <c r="A50" s="61">
        <f t="shared" si="0"/>
        <v>36</v>
      </c>
      <c r="B50" s="29" t="s">
        <v>71</v>
      </c>
      <c r="C50" s="29">
        <v>63</v>
      </c>
      <c r="D50" s="29" t="s">
        <v>973</v>
      </c>
      <c r="E50" s="29" t="s">
        <v>978</v>
      </c>
      <c r="F50" s="55">
        <v>25</v>
      </c>
      <c r="G50" s="29" t="s">
        <v>891</v>
      </c>
      <c r="H50" s="29">
        <v>3</v>
      </c>
      <c r="I50" s="29">
        <v>1</v>
      </c>
      <c r="J50" s="29">
        <v>4</v>
      </c>
      <c r="K50" s="29" t="s">
        <v>114</v>
      </c>
      <c r="L50" s="61"/>
      <c r="N50" s="55">
        <f t="shared" si="1"/>
        <v>36</v>
      </c>
      <c r="O50" s="55" t="s">
        <v>71</v>
      </c>
      <c r="P50" s="55">
        <v>63</v>
      </c>
      <c r="Q50" s="55" t="s">
        <v>441</v>
      </c>
      <c r="R50" s="55" t="s">
        <v>325</v>
      </c>
      <c r="S50" s="55">
        <v>48</v>
      </c>
      <c r="T50" s="55" t="s">
        <v>106</v>
      </c>
      <c r="U50" s="55">
        <v>3.3</v>
      </c>
      <c r="V50" s="55">
        <v>1</v>
      </c>
      <c r="W50" s="55">
        <v>4.3</v>
      </c>
      <c r="X50" s="55" t="s">
        <v>114</v>
      </c>
      <c r="Y50" s="55"/>
      <c r="AA50" s="61">
        <f t="shared" si="2"/>
        <v>36</v>
      </c>
      <c r="AB50" s="29" t="s">
        <v>71</v>
      </c>
      <c r="AC50" s="61">
        <v>63</v>
      </c>
      <c r="AD50" s="29" t="s">
        <v>333</v>
      </c>
      <c r="AE50" s="29" t="s">
        <v>299</v>
      </c>
      <c r="AF50" s="55">
        <v>3.7</v>
      </c>
      <c r="AG50" s="55" t="s">
        <v>106</v>
      </c>
      <c r="AH50" s="29">
        <v>3.5</v>
      </c>
      <c r="AI50" s="29">
        <v>1</v>
      </c>
      <c r="AJ50" s="29">
        <v>4.5</v>
      </c>
      <c r="AK50" s="29" t="s">
        <v>114</v>
      </c>
      <c r="AL50" s="61"/>
      <c r="AN50" s="29">
        <f t="shared" si="3"/>
        <v>36</v>
      </c>
      <c r="AO50" s="29" t="s">
        <v>71</v>
      </c>
      <c r="AP50" s="29">
        <v>63</v>
      </c>
      <c r="AQ50" s="29" t="s">
        <v>936</v>
      </c>
      <c r="AR50" s="29" t="s">
        <v>969</v>
      </c>
      <c r="AS50" s="55">
        <v>98.6</v>
      </c>
      <c r="AT50" s="55" t="s">
        <v>285</v>
      </c>
      <c r="AU50" s="55">
        <v>3</v>
      </c>
      <c r="AV50" s="29">
        <v>1</v>
      </c>
      <c r="AW50" s="29">
        <v>4</v>
      </c>
      <c r="AX50" s="29" t="s">
        <v>114</v>
      </c>
      <c r="AY50" s="29"/>
      <c r="BA50" s="29">
        <f t="shared" si="4"/>
        <v>36</v>
      </c>
      <c r="BB50" s="29" t="s">
        <v>71</v>
      </c>
      <c r="BC50" s="29"/>
      <c r="BD50" s="29" t="s">
        <v>979</v>
      </c>
      <c r="BE50" s="29" t="s">
        <v>980</v>
      </c>
      <c r="BF50" s="55">
        <v>32</v>
      </c>
      <c r="BG50" s="29" t="s">
        <v>106</v>
      </c>
      <c r="BH50" s="29">
        <v>3.3</v>
      </c>
      <c r="BI50" s="29">
        <v>1</v>
      </c>
      <c r="BJ50" s="29">
        <v>4.3</v>
      </c>
      <c r="BK50" s="29" t="s">
        <v>114</v>
      </c>
      <c r="BL50" s="29"/>
    </row>
    <row r="51" spans="1:64">
      <c r="A51" s="61">
        <f t="shared" si="0"/>
        <v>37</v>
      </c>
      <c r="B51" s="29" t="s">
        <v>71</v>
      </c>
      <c r="C51" s="29">
        <v>63</v>
      </c>
      <c r="D51" s="29" t="s">
        <v>973</v>
      </c>
      <c r="E51" s="29" t="s">
        <v>981</v>
      </c>
      <c r="F51" s="55">
        <v>200</v>
      </c>
      <c r="G51" s="29" t="s">
        <v>891</v>
      </c>
      <c r="H51" s="29">
        <v>3</v>
      </c>
      <c r="I51" s="29">
        <v>1</v>
      </c>
      <c r="J51" s="29">
        <v>4</v>
      </c>
      <c r="K51" s="29" t="s">
        <v>114</v>
      </c>
      <c r="L51" s="61"/>
      <c r="N51" s="55">
        <f t="shared" si="1"/>
        <v>37</v>
      </c>
      <c r="O51" s="55" t="s">
        <v>71</v>
      </c>
      <c r="P51" s="55">
        <v>63</v>
      </c>
      <c r="Q51" s="55" t="s">
        <v>325</v>
      </c>
      <c r="R51" s="55" t="s">
        <v>982</v>
      </c>
      <c r="S51" s="55">
        <v>46</v>
      </c>
      <c r="T51" s="55" t="s">
        <v>106</v>
      </c>
      <c r="U51" s="55">
        <v>3.3</v>
      </c>
      <c r="V51" s="55">
        <v>1</v>
      </c>
      <c r="W51" s="55">
        <v>4.3</v>
      </c>
      <c r="X51" s="55" t="s">
        <v>114</v>
      </c>
      <c r="Y51" s="55"/>
      <c r="AA51" s="61">
        <f t="shared" si="2"/>
        <v>37</v>
      </c>
      <c r="AB51" s="29" t="s">
        <v>71</v>
      </c>
      <c r="AC51" s="61">
        <v>63</v>
      </c>
      <c r="AD51" s="29" t="s">
        <v>333</v>
      </c>
      <c r="AE51" s="29" t="s">
        <v>299</v>
      </c>
      <c r="AF51" s="55">
        <v>8.3000000000000007</v>
      </c>
      <c r="AG51" s="55" t="s">
        <v>106</v>
      </c>
      <c r="AH51" s="29">
        <v>3.5</v>
      </c>
      <c r="AI51" s="29">
        <v>1</v>
      </c>
      <c r="AJ51" s="29">
        <v>4.5</v>
      </c>
      <c r="AK51" s="29" t="s">
        <v>114</v>
      </c>
      <c r="AL51" s="61"/>
      <c r="AN51" s="29">
        <f t="shared" si="3"/>
        <v>37</v>
      </c>
      <c r="AO51" s="29" t="s">
        <v>71</v>
      </c>
      <c r="AP51" s="29">
        <v>63</v>
      </c>
      <c r="AQ51" s="29" t="s">
        <v>969</v>
      </c>
      <c r="AR51" s="29" t="s">
        <v>531</v>
      </c>
      <c r="AS51" s="55">
        <v>69</v>
      </c>
      <c r="AT51" s="55" t="s">
        <v>285</v>
      </c>
      <c r="AU51" s="55">
        <v>3</v>
      </c>
      <c r="AV51" s="29">
        <v>1</v>
      </c>
      <c r="AW51" s="29">
        <v>4</v>
      </c>
      <c r="AX51" s="29" t="s">
        <v>114</v>
      </c>
      <c r="AY51" s="29"/>
      <c r="BA51" s="29">
        <f t="shared" si="4"/>
        <v>37</v>
      </c>
      <c r="BB51" s="29" t="s">
        <v>71</v>
      </c>
      <c r="BC51" s="29"/>
      <c r="BD51" s="29" t="s">
        <v>979</v>
      </c>
      <c r="BE51" s="29" t="s">
        <v>980</v>
      </c>
      <c r="BF51" s="55">
        <v>3</v>
      </c>
      <c r="BG51" s="29" t="s">
        <v>106</v>
      </c>
      <c r="BH51" s="29">
        <v>3.3</v>
      </c>
      <c r="BI51" s="29">
        <v>1</v>
      </c>
      <c r="BJ51" s="29">
        <v>4.3</v>
      </c>
      <c r="BK51" s="29" t="s">
        <v>114</v>
      </c>
      <c r="BL51" s="29"/>
    </row>
    <row r="52" spans="1:64">
      <c r="A52" s="61">
        <f t="shared" si="0"/>
        <v>38</v>
      </c>
      <c r="B52" s="29" t="s">
        <v>71</v>
      </c>
      <c r="C52" s="29">
        <v>63</v>
      </c>
      <c r="D52" s="29" t="s">
        <v>970</v>
      </c>
      <c r="E52" s="29" t="s">
        <v>973</v>
      </c>
      <c r="F52" s="55">
        <v>7</v>
      </c>
      <c r="G52" s="29" t="s">
        <v>891</v>
      </c>
      <c r="H52" s="29">
        <v>3</v>
      </c>
      <c r="I52" s="29">
        <v>1</v>
      </c>
      <c r="J52" s="29">
        <v>4</v>
      </c>
      <c r="K52" s="29" t="s">
        <v>114</v>
      </c>
      <c r="L52" s="61"/>
      <c r="N52" s="55">
        <f t="shared" si="1"/>
        <v>38</v>
      </c>
      <c r="O52" s="55" t="s">
        <v>71</v>
      </c>
      <c r="P52" s="55">
        <v>63</v>
      </c>
      <c r="Q52" s="55" t="s">
        <v>982</v>
      </c>
      <c r="R52" s="55" t="s">
        <v>906</v>
      </c>
      <c r="S52" s="55">
        <v>66.400000000000006</v>
      </c>
      <c r="T52" s="55" t="s">
        <v>106</v>
      </c>
      <c r="U52" s="55">
        <v>3.3</v>
      </c>
      <c r="V52" s="55">
        <v>1</v>
      </c>
      <c r="W52" s="55">
        <v>4.3</v>
      </c>
      <c r="X52" s="55" t="s">
        <v>114</v>
      </c>
      <c r="Y52" s="55"/>
      <c r="AA52" s="61">
        <f t="shared" si="2"/>
        <v>38</v>
      </c>
      <c r="AB52" s="29" t="s">
        <v>71</v>
      </c>
      <c r="AC52" s="61">
        <v>63</v>
      </c>
      <c r="AD52" s="29" t="s">
        <v>372</v>
      </c>
      <c r="AE52" s="29" t="s">
        <v>304</v>
      </c>
      <c r="AF52" s="55">
        <v>10.199999999999999</v>
      </c>
      <c r="AG52" s="55" t="s">
        <v>106</v>
      </c>
      <c r="AH52" s="29">
        <v>3.5</v>
      </c>
      <c r="AI52" s="29">
        <v>1</v>
      </c>
      <c r="AJ52" s="29">
        <v>4.5</v>
      </c>
      <c r="AK52" s="29" t="s">
        <v>114</v>
      </c>
      <c r="AL52" s="61"/>
      <c r="AN52" s="29">
        <f t="shared" si="3"/>
        <v>38</v>
      </c>
      <c r="AO52" s="29" t="s">
        <v>71</v>
      </c>
      <c r="AP52" s="29">
        <v>63</v>
      </c>
      <c r="AQ52" s="29" t="s">
        <v>531</v>
      </c>
      <c r="AR52" s="29" t="s">
        <v>292</v>
      </c>
      <c r="AS52" s="55">
        <v>18.5</v>
      </c>
      <c r="AT52" s="55" t="s">
        <v>285</v>
      </c>
      <c r="AU52" s="55">
        <v>3</v>
      </c>
      <c r="AV52" s="29">
        <v>1</v>
      </c>
      <c r="AW52" s="29">
        <v>4</v>
      </c>
      <c r="AX52" s="29" t="s">
        <v>114</v>
      </c>
      <c r="AY52" s="29"/>
      <c r="BA52" s="29">
        <f t="shared" si="4"/>
        <v>38</v>
      </c>
      <c r="BB52" s="29" t="s">
        <v>71</v>
      </c>
      <c r="BC52" s="29"/>
      <c r="BD52" s="29" t="s">
        <v>950</v>
      </c>
      <c r="BE52" s="29" t="s">
        <v>947</v>
      </c>
      <c r="BF52" s="55">
        <v>7</v>
      </c>
      <c r="BG52" s="29" t="s">
        <v>106</v>
      </c>
      <c r="BH52" s="29">
        <v>3.3</v>
      </c>
      <c r="BI52" s="29">
        <v>1</v>
      </c>
      <c r="BJ52" s="29">
        <v>4.3</v>
      </c>
      <c r="BK52" s="29" t="s">
        <v>114</v>
      </c>
      <c r="BL52" s="29"/>
    </row>
    <row r="53" spans="1:64">
      <c r="A53" s="61">
        <f t="shared" si="0"/>
        <v>39</v>
      </c>
      <c r="B53" s="29" t="s">
        <v>71</v>
      </c>
      <c r="C53" s="29">
        <v>63</v>
      </c>
      <c r="D53" s="29" t="s">
        <v>970</v>
      </c>
      <c r="E53" s="29" t="s">
        <v>953</v>
      </c>
      <c r="F53" s="55">
        <v>57</v>
      </c>
      <c r="G53" s="29" t="s">
        <v>891</v>
      </c>
      <c r="H53" s="29">
        <v>3</v>
      </c>
      <c r="I53" s="29">
        <v>1</v>
      </c>
      <c r="J53" s="29">
        <v>4</v>
      </c>
      <c r="K53" s="29" t="s">
        <v>114</v>
      </c>
      <c r="L53" s="61"/>
      <c r="N53" s="55">
        <f t="shared" si="1"/>
        <v>39</v>
      </c>
      <c r="O53" s="55" t="s">
        <v>71</v>
      </c>
      <c r="P53" s="55">
        <v>63</v>
      </c>
      <c r="Q53" s="55" t="s">
        <v>906</v>
      </c>
      <c r="R53" s="55" t="s">
        <v>347</v>
      </c>
      <c r="S53" s="55">
        <v>100.1</v>
      </c>
      <c r="T53" s="55" t="s">
        <v>106</v>
      </c>
      <c r="U53" s="55">
        <v>3.3</v>
      </c>
      <c r="V53" s="55">
        <v>1</v>
      </c>
      <c r="W53" s="55">
        <v>4.3</v>
      </c>
      <c r="X53" s="55" t="s">
        <v>114</v>
      </c>
      <c r="Y53" s="55"/>
      <c r="AA53" s="61">
        <f t="shared" si="2"/>
        <v>39</v>
      </c>
      <c r="AB53" s="29" t="s">
        <v>71</v>
      </c>
      <c r="AC53" s="61">
        <v>63</v>
      </c>
      <c r="AD53" s="29" t="s">
        <v>983</v>
      </c>
      <c r="AE53" s="29" t="s">
        <v>929</v>
      </c>
      <c r="AF53" s="55">
        <v>163.5</v>
      </c>
      <c r="AG53" s="55" t="s">
        <v>106</v>
      </c>
      <c r="AH53" s="29">
        <v>3.5</v>
      </c>
      <c r="AI53" s="29">
        <v>1</v>
      </c>
      <c r="AJ53" s="29">
        <v>4.5</v>
      </c>
      <c r="AK53" s="29" t="s">
        <v>114</v>
      </c>
      <c r="AL53" s="61"/>
      <c r="AN53" s="29">
        <f t="shared" si="3"/>
        <v>39</v>
      </c>
      <c r="AO53" s="29" t="s">
        <v>71</v>
      </c>
      <c r="AP53" s="29">
        <v>63</v>
      </c>
      <c r="AQ53" s="29" t="s">
        <v>292</v>
      </c>
      <c r="AR53" s="29" t="s">
        <v>984</v>
      </c>
      <c r="AS53" s="55">
        <v>53.1</v>
      </c>
      <c r="AT53" s="55" t="s">
        <v>285</v>
      </c>
      <c r="AU53" s="55">
        <v>3</v>
      </c>
      <c r="AV53" s="29">
        <v>1</v>
      </c>
      <c r="AW53" s="29">
        <v>4</v>
      </c>
      <c r="AX53" s="29" t="s">
        <v>114</v>
      </c>
      <c r="AY53" s="29"/>
      <c r="BA53" s="29">
        <f t="shared" si="4"/>
        <v>39</v>
      </c>
      <c r="BB53" s="29" t="s">
        <v>71</v>
      </c>
      <c r="BC53" s="29"/>
      <c r="BD53" s="29" t="s">
        <v>364</v>
      </c>
      <c r="BE53" s="29" t="s">
        <v>972</v>
      </c>
      <c r="BF53" s="29">
        <v>7</v>
      </c>
      <c r="BG53" s="29" t="s">
        <v>106</v>
      </c>
      <c r="BH53" s="29">
        <v>3.3</v>
      </c>
      <c r="BI53" s="29">
        <v>1</v>
      </c>
      <c r="BJ53" s="29">
        <v>4.3</v>
      </c>
      <c r="BK53" s="29" t="s">
        <v>114</v>
      </c>
      <c r="BL53" s="29"/>
    </row>
    <row r="54" spans="1:64">
      <c r="A54" s="61">
        <f t="shared" si="0"/>
        <v>40</v>
      </c>
      <c r="B54" s="29" t="s">
        <v>71</v>
      </c>
      <c r="C54" s="29">
        <v>63</v>
      </c>
      <c r="D54" s="29" t="s">
        <v>953</v>
      </c>
      <c r="E54" s="29" t="s">
        <v>896</v>
      </c>
      <c r="F54" s="55">
        <v>121.5</v>
      </c>
      <c r="G54" s="29" t="s">
        <v>891</v>
      </c>
      <c r="H54" s="29">
        <v>3</v>
      </c>
      <c r="I54" s="29">
        <v>1</v>
      </c>
      <c r="J54" s="29">
        <v>4</v>
      </c>
      <c r="K54" s="29" t="s">
        <v>114</v>
      </c>
      <c r="L54" s="61"/>
      <c r="N54" s="55">
        <f t="shared" si="1"/>
        <v>40</v>
      </c>
      <c r="O54" s="55" t="s">
        <v>71</v>
      </c>
      <c r="P54" s="55">
        <v>63</v>
      </c>
      <c r="Q54" s="55" t="s">
        <v>906</v>
      </c>
      <c r="R54" s="55" t="s">
        <v>347</v>
      </c>
      <c r="S54" s="55">
        <v>8</v>
      </c>
      <c r="T54" s="55" t="s">
        <v>106</v>
      </c>
      <c r="U54" s="55">
        <v>3.3</v>
      </c>
      <c r="V54" s="55">
        <v>1</v>
      </c>
      <c r="W54" s="55">
        <v>4.3</v>
      </c>
      <c r="X54" s="55" t="s">
        <v>114</v>
      </c>
      <c r="Y54" s="55"/>
      <c r="AA54" s="61">
        <f t="shared" si="2"/>
        <v>40</v>
      </c>
      <c r="AB54" s="29" t="s">
        <v>71</v>
      </c>
      <c r="AC54" s="61">
        <v>63</v>
      </c>
      <c r="AD54" s="29" t="s">
        <v>929</v>
      </c>
      <c r="AE54" s="29" t="s">
        <v>341</v>
      </c>
      <c r="AF54" s="55">
        <v>58.6</v>
      </c>
      <c r="AG54" s="55" t="s">
        <v>106</v>
      </c>
      <c r="AH54" s="29">
        <v>3.5</v>
      </c>
      <c r="AI54" s="29">
        <v>1</v>
      </c>
      <c r="AJ54" s="29">
        <v>4.5</v>
      </c>
      <c r="AK54" s="29" t="s">
        <v>114</v>
      </c>
      <c r="AL54" s="61"/>
      <c r="AN54" s="29">
        <f t="shared" si="3"/>
        <v>40</v>
      </c>
      <c r="AO54" s="29" t="s">
        <v>71</v>
      </c>
      <c r="AP54" s="29">
        <v>63</v>
      </c>
      <c r="AQ54" s="29" t="s">
        <v>292</v>
      </c>
      <c r="AR54" s="29" t="s">
        <v>340</v>
      </c>
      <c r="AS54" s="55">
        <v>81</v>
      </c>
      <c r="AT54" s="55" t="s">
        <v>285</v>
      </c>
      <c r="AU54" s="55">
        <v>3</v>
      </c>
      <c r="AV54" s="29">
        <v>1</v>
      </c>
      <c r="AW54" s="29">
        <v>4</v>
      </c>
      <c r="AX54" s="29" t="s">
        <v>114</v>
      </c>
      <c r="AY54" s="29"/>
      <c r="BA54" s="29">
        <f t="shared" si="4"/>
        <v>40</v>
      </c>
      <c r="BB54" s="29" t="s">
        <v>71</v>
      </c>
      <c r="BC54" s="29"/>
      <c r="BD54" s="29" t="s">
        <v>496</v>
      </c>
      <c r="BE54" s="29" t="s">
        <v>488</v>
      </c>
      <c r="BF54" s="29">
        <v>7</v>
      </c>
      <c r="BG54" s="29" t="s">
        <v>106</v>
      </c>
      <c r="BH54" s="29">
        <v>3.3</v>
      </c>
      <c r="BI54" s="29">
        <v>1</v>
      </c>
      <c r="BJ54" s="29">
        <v>4.3</v>
      </c>
      <c r="BK54" s="29" t="s">
        <v>114</v>
      </c>
      <c r="BL54" s="29"/>
    </row>
    <row r="55" spans="1:64">
      <c r="A55" s="324"/>
      <c r="B55" s="324"/>
      <c r="C55" s="325" t="s">
        <v>86</v>
      </c>
      <c r="D55" s="325"/>
      <c r="E55" s="325"/>
      <c r="F55" s="325"/>
      <c r="G55" s="325" t="s">
        <v>87</v>
      </c>
      <c r="H55" s="325"/>
      <c r="I55" s="325"/>
      <c r="J55" s="325" t="s">
        <v>39</v>
      </c>
      <c r="K55" s="325"/>
      <c r="L55" s="325"/>
      <c r="M55" s="52"/>
      <c r="N55" s="55">
        <f t="shared" si="1"/>
        <v>41</v>
      </c>
      <c r="O55" s="55" t="s">
        <v>71</v>
      </c>
      <c r="P55" s="55">
        <v>63</v>
      </c>
      <c r="Q55" s="55" t="s">
        <v>906</v>
      </c>
      <c r="R55" s="55" t="s">
        <v>323</v>
      </c>
      <c r="S55" s="55">
        <v>49.5</v>
      </c>
      <c r="T55" s="55" t="s">
        <v>106</v>
      </c>
      <c r="U55" s="55">
        <v>3.3</v>
      </c>
      <c r="V55" s="55">
        <v>1</v>
      </c>
      <c r="W55" s="55">
        <v>4.3</v>
      </c>
      <c r="X55" s="55" t="s">
        <v>114</v>
      </c>
      <c r="Y55" s="55"/>
      <c r="AA55" s="61">
        <f t="shared" si="2"/>
        <v>41</v>
      </c>
      <c r="AB55" s="29" t="s">
        <v>71</v>
      </c>
      <c r="AC55" s="61">
        <v>63</v>
      </c>
      <c r="AD55" s="29" t="s">
        <v>929</v>
      </c>
      <c r="AE55" s="29" t="s">
        <v>985</v>
      </c>
      <c r="AF55" s="55">
        <v>52.3</v>
      </c>
      <c r="AG55" s="55" t="s">
        <v>106</v>
      </c>
      <c r="AH55" s="29">
        <v>3.5</v>
      </c>
      <c r="AI55" s="29">
        <v>1</v>
      </c>
      <c r="AJ55" s="29">
        <v>4.5</v>
      </c>
      <c r="AK55" s="29" t="s">
        <v>114</v>
      </c>
      <c r="AL55" s="61"/>
      <c r="AN55" s="29">
        <f t="shared" si="3"/>
        <v>41</v>
      </c>
      <c r="AO55" s="29" t="s">
        <v>71</v>
      </c>
      <c r="AP55" s="29">
        <v>63</v>
      </c>
      <c r="AQ55" s="29" t="s">
        <v>925</v>
      </c>
      <c r="AR55" s="29" t="s">
        <v>586</v>
      </c>
      <c r="AS55" s="55">
        <v>62</v>
      </c>
      <c r="AT55" s="55" t="s">
        <v>285</v>
      </c>
      <c r="AU55" s="55">
        <v>3</v>
      </c>
      <c r="AV55" s="29">
        <v>1</v>
      </c>
      <c r="AW55" s="29">
        <v>4</v>
      </c>
      <c r="AX55" s="29" t="s">
        <v>114</v>
      </c>
      <c r="AY55" s="29"/>
      <c r="BA55" s="29">
        <f t="shared" si="4"/>
        <v>41</v>
      </c>
      <c r="BB55" s="29" t="s">
        <v>71</v>
      </c>
      <c r="BC55" s="29"/>
      <c r="BD55" s="29" t="s">
        <v>964</v>
      </c>
      <c r="BE55" s="29" t="s">
        <v>986</v>
      </c>
      <c r="BF55" s="55">
        <v>8</v>
      </c>
      <c r="BG55" s="29" t="s">
        <v>106</v>
      </c>
      <c r="BH55" s="29">
        <v>3.3</v>
      </c>
      <c r="BI55" s="29">
        <v>1</v>
      </c>
      <c r="BJ55" s="29">
        <v>4.3</v>
      </c>
      <c r="BK55" s="29" t="s">
        <v>114</v>
      </c>
      <c r="BL55" s="29"/>
    </row>
    <row r="56" spans="1:64">
      <c r="A56" s="295" t="s">
        <v>40</v>
      </c>
      <c r="B56" s="295"/>
      <c r="C56" s="317"/>
      <c r="D56" s="317"/>
      <c r="E56" s="317"/>
      <c r="F56" s="317"/>
      <c r="G56" s="317"/>
      <c r="H56" s="317"/>
      <c r="I56" s="317"/>
      <c r="J56" s="317"/>
      <c r="K56" s="317"/>
      <c r="L56" s="317"/>
      <c r="N56" s="55">
        <f t="shared" si="1"/>
        <v>42</v>
      </c>
      <c r="O56" s="55" t="s">
        <v>71</v>
      </c>
      <c r="P56" s="55">
        <v>63</v>
      </c>
      <c r="Q56" s="55" t="s">
        <v>299</v>
      </c>
      <c r="R56" s="55" t="s">
        <v>458</v>
      </c>
      <c r="S56" s="55">
        <v>59.5</v>
      </c>
      <c r="T56" s="55" t="s">
        <v>106</v>
      </c>
      <c r="U56" s="55">
        <v>3.3</v>
      </c>
      <c r="V56" s="55">
        <v>1</v>
      </c>
      <c r="W56" s="55">
        <v>4.3</v>
      </c>
      <c r="X56" s="55" t="s">
        <v>114</v>
      </c>
      <c r="Y56" s="55"/>
      <c r="AA56" s="61">
        <f t="shared" si="2"/>
        <v>42</v>
      </c>
      <c r="AB56" s="29" t="s">
        <v>71</v>
      </c>
      <c r="AC56" s="61">
        <v>63</v>
      </c>
      <c r="AD56" s="29" t="s">
        <v>985</v>
      </c>
      <c r="AE56" s="29" t="s">
        <v>341</v>
      </c>
      <c r="AF56" s="55">
        <v>86.3</v>
      </c>
      <c r="AG56" s="55" t="s">
        <v>106</v>
      </c>
      <c r="AH56" s="29">
        <v>3.5</v>
      </c>
      <c r="AI56" s="29">
        <v>1</v>
      </c>
      <c r="AJ56" s="29">
        <v>4.5</v>
      </c>
      <c r="AK56" s="29" t="s">
        <v>114</v>
      </c>
      <c r="AL56" s="61"/>
      <c r="AN56" s="29">
        <f t="shared" si="3"/>
        <v>42</v>
      </c>
      <c r="AO56" s="29" t="s">
        <v>71</v>
      </c>
      <c r="AP56" s="29">
        <v>63</v>
      </c>
      <c r="AQ56" s="29" t="s">
        <v>586</v>
      </c>
      <c r="AR56" s="29" t="s">
        <v>969</v>
      </c>
      <c r="AS56" s="55">
        <v>68</v>
      </c>
      <c r="AT56" s="55" t="s">
        <v>285</v>
      </c>
      <c r="AU56" s="55">
        <v>3</v>
      </c>
      <c r="AV56" s="29">
        <v>1</v>
      </c>
      <c r="AW56" s="29">
        <v>4</v>
      </c>
      <c r="AX56" s="29" t="s">
        <v>114</v>
      </c>
      <c r="AY56" s="29"/>
      <c r="BA56" s="29">
        <f t="shared" si="4"/>
        <v>42</v>
      </c>
      <c r="BB56" s="29" t="s">
        <v>71</v>
      </c>
      <c r="BC56" s="29"/>
      <c r="BD56" s="29" t="s">
        <v>973</v>
      </c>
      <c r="BE56" s="29" t="s">
        <v>981</v>
      </c>
      <c r="BF56" s="29">
        <v>46.1</v>
      </c>
      <c r="BG56" s="29" t="s">
        <v>106</v>
      </c>
      <c r="BH56" s="29">
        <v>3.3</v>
      </c>
      <c r="BI56" s="29">
        <v>1</v>
      </c>
      <c r="BJ56" s="29">
        <v>4.3</v>
      </c>
      <c r="BK56" s="29" t="s">
        <v>114</v>
      </c>
      <c r="BL56" s="29"/>
    </row>
    <row r="57" spans="1:64">
      <c r="A57" s="295" t="s">
        <v>41</v>
      </c>
      <c r="B57" s="295"/>
      <c r="C57" s="317"/>
      <c r="D57" s="317"/>
      <c r="E57" s="317"/>
      <c r="F57" s="317"/>
      <c r="G57" s="317"/>
      <c r="H57" s="317"/>
      <c r="I57" s="317"/>
      <c r="J57" s="317"/>
      <c r="K57" s="317"/>
      <c r="L57" s="317"/>
      <c r="N57" s="55">
        <f t="shared" si="1"/>
        <v>43</v>
      </c>
      <c r="O57" s="55" t="s">
        <v>71</v>
      </c>
      <c r="P57" s="55">
        <v>63</v>
      </c>
      <c r="Q57" s="55" t="s">
        <v>458</v>
      </c>
      <c r="R57" s="55" t="s">
        <v>325</v>
      </c>
      <c r="S57" s="55">
        <v>69.5</v>
      </c>
      <c r="T57" s="55" t="s">
        <v>106</v>
      </c>
      <c r="U57" s="55">
        <v>3.3</v>
      </c>
      <c r="V57" s="55">
        <v>1</v>
      </c>
      <c r="W57" s="55">
        <v>4.3</v>
      </c>
      <c r="X57" s="55" t="s">
        <v>114</v>
      </c>
      <c r="Y57" s="55"/>
      <c r="AA57" s="61">
        <f t="shared" si="2"/>
        <v>43</v>
      </c>
      <c r="AB57" s="29" t="s">
        <v>71</v>
      </c>
      <c r="AC57" s="61">
        <v>63</v>
      </c>
      <c r="AD57" s="29" t="s">
        <v>985</v>
      </c>
      <c r="AE57" s="29" t="s">
        <v>987</v>
      </c>
      <c r="AF57" s="55">
        <v>43.1</v>
      </c>
      <c r="AG57" s="55" t="s">
        <v>106</v>
      </c>
      <c r="AH57" s="29">
        <v>3.5</v>
      </c>
      <c r="AI57" s="29">
        <v>1</v>
      </c>
      <c r="AJ57" s="29">
        <v>4.5</v>
      </c>
      <c r="AK57" s="29" t="s">
        <v>114</v>
      </c>
      <c r="AL57" s="61"/>
      <c r="AN57" s="29">
        <f t="shared" si="3"/>
        <v>43</v>
      </c>
      <c r="AO57" s="29" t="s">
        <v>71</v>
      </c>
      <c r="AP57" s="29">
        <v>63</v>
      </c>
      <c r="AQ57" s="29" t="s">
        <v>532</v>
      </c>
      <c r="AR57" s="29" t="s">
        <v>965</v>
      </c>
      <c r="AS57" s="55">
        <v>104</v>
      </c>
      <c r="AT57" s="55" t="s">
        <v>285</v>
      </c>
      <c r="AU57" s="55">
        <v>3</v>
      </c>
      <c r="AV57" s="29">
        <v>1</v>
      </c>
      <c r="AW57" s="29">
        <v>4</v>
      </c>
      <c r="AX57" s="29" t="s">
        <v>114</v>
      </c>
      <c r="AY57" s="29"/>
      <c r="BA57" s="29">
        <f t="shared" si="4"/>
        <v>43</v>
      </c>
      <c r="BB57" s="29" t="s">
        <v>71</v>
      </c>
      <c r="BC57" s="29"/>
      <c r="BD57" s="29" t="s">
        <v>988</v>
      </c>
      <c r="BE57" s="29" t="s">
        <v>989</v>
      </c>
      <c r="BF57" s="29">
        <v>15.9</v>
      </c>
      <c r="BG57" s="29" t="s">
        <v>106</v>
      </c>
      <c r="BH57" s="29">
        <v>3.3</v>
      </c>
      <c r="BI57" s="29">
        <v>1</v>
      </c>
      <c r="BJ57" s="29">
        <v>4.3</v>
      </c>
      <c r="BK57" s="29" t="s">
        <v>114</v>
      </c>
      <c r="BL57" s="29"/>
    </row>
    <row r="58" spans="1:64">
      <c r="A58" s="295" t="s">
        <v>42</v>
      </c>
      <c r="B58" s="295"/>
      <c r="C58" s="317"/>
      <c r="D58" s="317"/>
      <c r="E58" s="317"/>
      <c r="F58" s="317"/>
      <c r="G58" s="317"/>
      <c r="H58" s="317"/>
      <c r="I58" s="317"/>
      <c r="J58" s="317"/>
      <c r="K58" s="317"/>
      <c r="L58" s="317"/>
      <c r="N58" s="55">
        <f t="shared" si="1"/>
        <v>44</v>
      </c>
      <c r="O58" s="55" t="s">
        <v>71</v>
      </c>
      <c r="P58" s="55">
        <v>63</v>
      </c>
      <c r="Q58" s="55" t="s">
        <v>458</v>
      </c>
      <c r="R58" s="55" t="s">
        <v>394</v>
      </c>
      <c r="S58" s="55">
        <v>12.1</v>
      </c>
      <c r="T58" s="55" t="s">
        <v>106</v>
      </c>
      <c r="U58" s="55">
        <v>3.3</v>
      </c>
      <c r="V58" s="55">
        <v>1</v>
      </c>
      <c r="W58" s="55">
        <v>4.3</v>
      </c>
      <c r="X58" s="55" t="s">
        <v>114</v>
      </c>
      <c r="Y58" s="55"/>
      <c r="AA58" s="61">
        <f t="shared" si="2"/>
        <v>44</v>
      </c>
      <c r="AB58" s="29" t="s">
        <v>71</v>
      </c>
      <c r="AC58" s="61">
        <v>63</v>
      </c>
      <c r="AD58" s="29" t="s">
        <v>987</v>
      </c>
      <c r="AE58" s="29" t="s">
        <v>444</v>
      </c>
      <c r="AF58" s="55">
        <v>37.6</v>
      </c>
      <c r="AG58" s="55" t="s">
        <v>106</v>
      </c>
      <c r="AH58" s="29">
        <v>3.5</v>
      </c>
      <c r="AI58" s="29">
        <v>1</v>
      </c>
      <c r="AJ58" s="29">
        <v>4.5</v>
      </c>
      <c r="AK58" s="29" t="s">
        <v>114</v>
      </c>
      <c r="AL58" s="61"/>
      <c r="AN58" s="29">
        <f t="shared" si="3"/>
        <v>44</v>
      </c>
      <c r="AO58" s="29" t="s">
        <v>71</v>
      </c>
      <c r="AP58" s="29">
        <v>63</v>
      </c>
      <c r="AQ58" s="29" t="s">
        <v>990</v>
      </c>
      <c r="AR58" s="29" t="s">
        <v>991</v>
      </c>
      <c r="AS58" s="55">
        <v>25</v>
      </c>
      <c r="AT58" s="55" t="s">
        <v>285</v>
      </c>
      <c r="AU58" s="55">
        <v>3</v>
      </c>
      <c r="AV58" s="29">
        <v>1</v>
      </c>
      <c r="AW58" s="29">
        <v>4</v>
      </c>
      <c r="AX58" s="29" t="s">
        <v>114</v>
      </c>
      <c r="AY58" s="29"/>
      <c r="BA58" s="29">
        <f t="shared" si="4"/>
        <v>44</v>
      </c>
      <c r="BB58" s="29" t="s">
        <v>71</v>
      </c>
      <c r="BC58" s="29"/>
      <c r="BD58" s="29" t="s">
        <v>988</v>
      </c>
      <c r="BE58" s="29" t="s">
        <v>989</v>
      </c>
      <c r="BF58" s="29">
        <v>17</v>
      </c>
      <c r="BG58" s="29" t="s">
        <v>106</v>
      </c>
      <c r="BH58" s="29">
        <v>3.3</v>
      </c>
      <c r="BI58" s="29">
        <v>1</v>
      </c>
      <c r="BJ58" s="29">
        <v>4.3</v>
      </c>
      <c r="BK58" s="29" t="s">
        <v>114</v>
      </c>
      <c r="BL58" s="29"/>
    </row>
    <row r="59" spans="1:64">
      <c r="A59" s="295" t="s">
        <v>43</v>
      </c>
      <c r="B59" s="295"/>
      <c r="C59" s="315"/>
      <c r="D59" s="316"/>
      <c r="E59" s="316"/>
      <c r="F59" s="316"/>
      <c r="G59" s="317"/>
      <c r="H59" s="317"/>
      <c r="I59" s="317"/>
      <c r="J59" s="317"/>
      <c r="K59" s="317"/>
      <c r="L59" s="317"/>
      <c r="N59" s="55">
        <f t="shared" si="1"/>
        <v>45</v>
      </c>
      <c r="O59" s="55" t="s">
        <v>71</v>
      </c>
      <c r="P59" s="55">
        <v>63</v>
      </c>
      <c r="Q59" s="55" t="s">
        <v>394</v>
      </c>
      <c r="R59" s="55" t="s">
        <v>427</v>
      </c>
      <c r="S59" s="55">
        <v>52</v>
      </c>
      <c r="T59" s="55" t="s">
        <v>106</v>
      </c>
      <c r="U59" s="55">
        <v>3.3</v>
      </c>
      <c r="V59" s="55">
        <v>1</v>
      </c>
      <c r="W59" s="55">
        <v>4.3</v>
      </c>
      <c r="X59" s="55" t="s">
        <v>114</v>
      </c>
      <c r="Y59" s="55"/>
      <c r="AA59" s="61">
        <f t="shared" si="2"/>
        <v>45</v>
      </c>
      <c r="AB59" s="29" t="s">
        <v>71</v>
      </c>
      <c r="AC59" s="61">
        <v>63</v>
      </c>
      <c r="AD59" s="29" t="s">
        <v>444</v>
      </c>
      <c r="AE59" s="29" t="s">
        <v>477</v>
      </c>
      <c r="AF59" s="55">
        <v>70.5</v>
      </c>
      <c r="AG59" s="55" t="s">
        <v>106</v>
      </c>
      <c r="AH59" s="29">
        <v>3.5</v>
      </c>
      <c r="AI59" s="29">
        <v>1</v>
      </c>
      <c r="AJ59" s="29">
        <v>4.5</v>
      </c>
      <c r="AK59" s="29" t="s">
        <v>114</v>
      </c>
      <c r="AL59" s="61"/>
      <c r="AN59" s="29">
        <f t="shared" si="3"/>
        <v>45</v>
      </c>
      <c r="AO59" s="29" t="s">
        <v>71</v>
      </c>
      <c r="AP59" s="29">
        <v>63</v>
      </c>
      <c r="AQ59" s="29" t="s">
        <v>965</v>
      </c>
      <c r="AR59" s="29" t="s">
        <v>990</v>
      </c>
      <c r="AS59" s="55">
        <v>91</v>
      </c>
      <c r="AT59" s="55" t="s">
        <v>285</v>
      </c>
      <c r="AU59" s="55">
        <v>3</v>
      </c>
      <c r="AV59" s="29">
        <v>1</v>
      </c>
      <c r="AW59" s="29">
        <v>4</v>
      </c>
      <c r="AX59" s="29" t="s">
        <v>114</v>
      </c>
      <c r="AY59" s="29"/>
      <c r="BA59" s="29">
        <f t="shared" si="4"/>
        <v>45</v>
      </c>
      <c r="BB59" s="29" t="s">
        <v>71</v>
      </c>
      <c r="BC59" s="29"/>
      <c r="BD59" s="29" t="s">
        <v>305</v>
      </c>
      <c r="BE59" s="29" t="s">
        <v>478</v>
      </c>
      <c r="BF59" s="29">
        <v>26.7</v>
      </c>
      <c r="BG59" s="29" t="s">
        <v>106</v>
      </c>
      <c r="BH59" s="29">
        <v>3.3</v>
      </c>
      <c r="BI59" s="29">
        <v>1</v>
      </c>
      <c r="BJ59" s="29">
        <v>4.3</v>
      </c>
      <c r="BK59" s="29" t="s">
        <v>114</v>
      </c>
      <c r="BL59" s="29"/>
    </row>
    <row r="60" spans="1:64">
      <c r="B60" s="46"/>
      <c r="N60" s="55">
        <f t="shared" si="1"/>
        <v>46</v>
      </c>
      <c r="O60" s="55" t="s">
        <v>71</v>
      </c>
      <c r="P60" s="55">
        <v>63</v>
      </c>
      <c r="Q60" s="55" t="s">
        <v>427</v>
      </c>
      <c r="R60" s="55" t="s">
        <v>982</v>
      </c>
      <c r="S60" s="55">
        <v>58</v>
      </c>
      <c r="T60" s="55" t="s">
        <v>106</v>
      </c>
      <c r="U60" s="55">
        <v>3.3</v>
      </c>
      <c r="V60" s="55">
        <v>1</v>
      </c>
      <c r="W60" s="55">
        <v>4.3</v>
      </c>
      <c r="X60" s="55" t="s">
        <v>114</v>
      </c>
      <c r="Y60" s="55"/>
      <c r="AA60" s="61">
        <f t="shared" si="2"/>
        <v>46</v>
      </c>
      <c r="AB60" s="29" t="s">
        <v>71</v>
      </c>
      <c r="AC60" s="61">
        <v>63</v>
      </c>
      <c r="AD60" s="29" t="s">
        <v>477</v>
      </c>
      <c r="AE60" s="29" t="s">
        <v>902</v>
      </c>
      <c r="AF60" s="55">
        <v>170.1</v>
      </c>
      <c r="AG60" s="55" t="s">
        <v>106</v>
      </c>
      <c r="AH60" s="29">
        <v>3.5</v>
      </c>
      <c r="AI60" s="29">
        <v>1</v>
      </c>
      <c r="AJ60" s="29">
        <v>4.5</v>
      </c>
      <c r="AK60" s="29" t="s">
        <v>114</v>
      </c>
      <c r="AL60" s="61"/>
      <c r="AN60" s="29">
        <f t="shared" si="3"/>
        <v>46</v>
      </c>
      <c r="AO60" s="29" t="s">
        <v>71</v>
      </c>
      <c r="AP60" s="29">
        <v>63</v>
      </c>
      <c r="AQ60" s="29" t="s">
        <v>992</v>
      </c>
      <c r="AR60" s="29" t="s">
        <v>964</v>
      </c>
      <c r="AS60" s="55">
        <v>29.8</v>
      </c>
      <c r="AT60" s="55" t="s">
        <v>285</v>
      </c>
      <c r="AU60" s="55">
        <v>3</v>
      </c>
      <c r="AV60" s="29">
        <v>1</v>
      </c>
      <c r="AW60" s="29">
        <v>4</v>
      </c>
      <c r="AX60" s="29" t="s">
        <v>114</v>
      </c>
      <c r="AY60" s="29"/>
      <c r="BA60" s="29">
        <f t="shared" si="4"/>
        <v>46</v>
      </c>
      <c r="BB60" s="29" t="s">
        <v>71</v>
      </c>
      <c r="BC60" s="29"/>
      <c r="BD60" s="29" t="s">
        <v>305</v>
      </c>
      <c r="BE60" s="29" t="s">
        <v>478</v>
      </c>
      <c r="BF60" s="29">
        <v>50.4</v>
      </c>
      <c r="BG60" s="29" t="s">
        <v>106</v>
      </c>
      <c r="BH60" s="29">
        <v>3.3</v>
      </c>
      <c r="BI60" s="29">
        <v>1</v>
      </c>
      <c r="BJ60" s="29">
        <v>4.3</v>
      </c>
      <c r="BK60" s="29" t="s">
        <v>114</v>
      </c>
      <c r="BL60" s="29"/>
    </row>
    <row r="61" spans="1:64">
      <c r="B61" s="46"/>
      <c r="F61">
        <f>+SUM(F15:F54)</f>
        <v>3525.6999999999994</v>
      </c>
      <c r="N61" s="55">
        <f t="shared" si="1"/>
        <v>47</v>
      </c>
      <c r="O61" s="55" t="s">
        <v>71</v>
      </c>
      <c r="P61" s="55">
        <v>63</v>
      </c>
      <c r="Q61" s="55" t="s">
        <v>427</v>
      </c>
      <c r="R61" s="55" t="s">
        <v>392</v>
      </c>
      <c r="S61" s="55">
        <v>33.1</v>
      </c>
      <c r="T61" s="55" t="s">
        <v>106</v>
      </c>
      <c r="U61" s="55">
        <v>3.3</v>
      </c>
      <c r="V61" s="55">
        <v>1</v>
      </c>
      <c r="W61" s="55">
        <v>4.3</v>
      </c>
      <c r="X61" s="55" t="s">
        <v>114</v>
      </c>
      <c r="Y61" s="55"/>
      <c r="AA61" s="61">
        <f t="shared" si="2"/>
        <v>47</v>
      </c>
      <c r="AB61" s="29" t="s">
        <v>71</v>
      </c>
      <c r="AC61" s="61">
        <v>63</v>
      </c>
      <c r="AD61" s="55" t="s">
        <v>993</v>
      </c>
      <c r="AE61" s="55" t="s">
        <v>321</v>
      </c>
      <c r="AF61" s="55">
        <v>83.8</v>
      </c>
      <c r="AG61" s="55" t="s">
        <v>106</v>
      </c>
      <c r="AH61" s="29">
        <v>3.5</v>
      </c>
      <c r="AI61" s="29">
        <v>1</v>
      </c>
      <c r="AJ61" s="29">
        <v>4.5</v>
      </c>
      <c r="AK61" s="29" t="s">
        <v>114</v>
      </c>
      <c r="AL61" s="61"/>
      <c r="AN61" s="29">
        <f t="shared" si="3"/>
        <v>47</v>
      </c>
      <c r="AO61" s="29" t="s">
        <v>71</v>
      </c>
      <c r="AP61" s="29">
        <v>63</v>
      </c>
      <c r="AQ61" s="29" t="s">
        <v>964</v>
      </c>
      <c r="AR61" s="29" t="s">
        <v>965</v>
      </c>
      <c r="AS61" s="55">
        <v>9</v>
      </c>
      <c r="AT61" s="55" t="s">
        <v>285</v>
      </c>
      <c r="AU61" s="55">
        <v>3</v>
      </c>
      <c r="AV61" s="29">
        <v>1</v>
      </c>
      <c r="AW61" s="29">
        <v>4</v>
      </c>
      <c r="AX61" s="29" t="s">
        <v>114</v>
      </c>
      <c r="AY61" s="29"/>
      <c r="BA61" s="29">
        <f t="shared" si="4"/>
        <v>47</v>
      </c>
      <c r="BB61" s="29" t="s">
        <v>71</v>
      </c>
      <c r="BC61" s="29"/>
      <c r="BD61" s="29" t="s">
        <v>994</v>
      </c>
      <c r="BE61" s="29" t="s">
        <v>995</v>
      </c>
      <c r="BF61" s="29">
        <v>43.6</v>
      </c>
      <c r="BG61" s="29" t="s">
        <v>106</v>
      </c>
      <c r="BH61" s="29">
        <v>3.3</v>
      </c>
      <c r="BI61" s="29">
        <v>1</v>
      </c>
      <c r="BJ61" s="29">
        <v>4.3</v>
      </c>
      <c r="BK61" s="29" t="s">
        <v>114</v>
      </c>
      <c r="BL61" s="29"/>
    </row>
    <row r="62" spans="1:64">
      <c r="B62" s="46"/>
      <c r="N62" s="55">
        <f t="shared" si="1"/>
        <v>48</v>
      </c>
      <c r="O62" s="55" t="s">
        <v>71</v>
      </c>
      <c r="P62" s="55">
        <v>63</v>
      </c>
      <c r="Q62" s="55" t="s">
        <v>392</v>
      </c>
      <c r="R62" s="55" t="s">
        <v>497</v>
      </c>
      <c r="S62" s="55">
        <v>23.7</v>
      </c>
      <c r="T62" s="55" t="s">
        <v>106</v>
      </c>
      <c r="U62" s="55">
        <v>3.3</v>
      </c>
      <c r="V62" s="55">
        <v>1</v>
      </c>
      <c r="W62" s="55">
        <v>4.3</v>
      </c>
      <c r="X62" s="55" t="s">
        <v>114</v>
      </c>
      <c r="Y62" s="55"/>
      <c r="AA62" s="61">
        <f t="shared" si="2"/>
        <v>48</v>
      </c>
      <c r="AB62" s="29" t="s">
        <v>71</v>
      </c>
      <c r="AC62" s="61">
        <v>63</v>
      </c>
      <c r="AD62" s="29" t="s">
        <v>498</v>
      </c>
      <c r="AE62" s="29" t="s">
        <v>331</v>
      </c>
      <c r="AF62" s="55">
        <v>45</v>
      </c>
      <c r="AG62" s="55" t="s">
        <v>106</v>
      </c>
      <c r="AH62" s="29">
        <v>3.5</v>
      </c>
      <c r="AI62" s="29">
        <v>1</v>
      </c>
      <c r="AJ62" s="29">
        <v>4.5</v>
      </c>
      <c r="AK62" s="29" t="s">
        <v>114</v>
      </c>
      <c r="AL62" s="61"/>
      <c r="AN62" s="29">
        <f t="shared" si="3"/>
        <v>48</v>
      </c>
      <c r="AO62" s="29" t="s">
        <v>71</v>
      </c>
      <c r="AP62" s="29">
        <v>63</v>
      </c>
      <c r="AQ62" s="29" t="s">
        <v>964</v>
      </c>
      <c r="AR62" s="29" t="s">
        <v>986</v>
      </c>
      <c r="AS62" s="55">
        <v>36.200000000000003</v>
      </c>
      <c r="AT62" s="55" t="s">
        <v>285</v>
      </c>
      <c r="AU62" s="55">
        <v>3</v>
      </c>
      <c r="AV62" s="29">
        <v>1</v>
      </c>
      <c r="AW62" s="29">
        <v>4</v>
      </c>
      <c r="AX62" s="29" t="s">
        <v>114</v>
      </c>
      <c r="AY62" s="29"/>
      <c r="BA62" s="29">
        <f t="shared" si="4"/>
        <v>48</v>
      </c>
      <c r="BB62" s="29" t="s">
        <v>71</v>
      </c>
      <c r="BC62" s="29"/>
      <c r="BD62" s="29" t="s">
        <v>233</v>
      </c>
      <c r="BE62" s="29" t="s">
        <v>195</v>
      </c>
      <c r="BF62" s="29">
        <v>30.1</v>
      </c>
      <c r="BG62" s="29" t="s">
        <v>106</v>
      </c>
      <c r="BH62" s="29">
        <v>3.3</v>
      </c>
      <c r="BI62" s="29">
        <v>1</v>
      </c>
      <c r="BJ62" s="29">
        <v>4.3</v>
      </c>
      <c r="BK62" s="29" t="s">
        <v>114</v>
      </c>
      <c r="BL62" s="29"/>
    </row>
    <row r="63" spans="1:64">
      <c r="B63" s="46"/>
      <c r="N63" s="55">
        <f t="shared" si="1"/>
        <v>49</v>
      </c>
      <c r="O63" s="55" t="s">
        <v>71</v>
      </c>
      <c r="P63" s="55">
        <v>63</v>
      </c>
      <c r="Q63" s="55" t="s">
        <v>392</v>
      </c>
      <c r="R63" s="55" t="s">
        <v>497</v>
      </c>
      <c r="S63" s="55">
        <v>49.5</v>
      </c>
      <c r="T63" s="55" t="s">
        <v>106</v>
      </c>
      <c r="U63" s="55">
        <v>3.3</v>
      </c>
      <c r="V63" s="55">
        <v>1</v>
      </c>
      <c r="W63" s="55">
        <v>4.3</v>
      </c>
      <c r="X63" s="55" t="s">
        <v>114</v>
      </c>
      <c r="Y63" s="55"/>
      <c r="AA63" s="61">
        <f t="shared" si="2"/>
        <v>49</v>
      </c>
      <c r="AB63" s="29" t="s">
        <v>71</v>
      </c>
      <c r="AC63" s="61">
        <v>63</v>
      </c>
      <c r="AD63" s="29" t="s">
        <v>498</v>
      </c>
      <c r="AE63" s="29" t="s">
        <v>996</v>
      </c>
      <c r="AF63" s="55">
        <v>25.1</v>
      </c>
      <c r="AG63" s="55" t="s">
        <v>106</v>
      </c>
      <c r="AH63" s="29">
        <v>3.5</v>
      </c>
      <c r="AI63" s="29">
        <v>1</v>
      </c>
      <c r="AJ63" s="29">
        <v>4.5</v>
      </c>
      <c r="AK63" s="29" t="s">
        <v>114</v>
      </c>
      <c r="AL63" s="61"/>
      <c r="AN63" s="29">
        <f t="shared" si="3"/>
        <v>49</v>
      </c>
      <c r="AO63" s="29" t="s">
        <v>71</v>
      </c>
      <c r="AP63" s="29">
        <v>63</v>
      </c>
      <c r="AQ63" s="29" t="s">
        <v>393</v>
      </c>
      <c r="AR63" s="29" t="s">
        <v>467</v>
      </c>
      <c r="AS63" s="55">
        <v>19.2</v>
      </c>
      <c r="AT63" s="55" t="s">
        <v>285</v>
      </c>
      <c r="AU63" s="55">
        <v>3</v>
      </c>
      <c r="AV63" s="29">
        <v>1</v>
      </c>
      <c r="AW63" s="29">
        <v>4</v>
      </c>
      <c r="AX63" s="29" t="s">
        <v>114</v>
      </c>
      <c r="AY63" s="29"/>
      <c r="BA63" s="29">
        <f t="shared" si="4"/>
        <v>49</v>
      </c>
      <c r="BB63" s="29" t="s">
        <v>71</v>
      </c>
      <c r="BC63" s="29"/>
      <c r="BD63" s="29" t="s">
        <v>468</v>
      </c>
      <c r="BE63" s="29" t="s">
        <v>892</v>
      </c>
      <c r="BF63" s="29">
        <v>260.39999999999998</v>
      </c>
      <c r="BG63" s="29" t="s">
        <v>106</v>
      </c>
      <c r="BH63" s="29">
        <v>3.3</v>
      </c>
      <c r="BI63" s="29">
        <v>1</v>
      </c>
      <c r="BJ63" s="29">
        <v>4.3</v>
      </c>
      <c r="BK63" s="29" t="s">
        <v>114</v>
      </c>
      <c r="BL63" s="29"/>
    </row>
    <row r="64" spans="1:64">
      <c r="B64" s="46"/>
      <c r="N64" s="55">
        <f t="shared" si="1"/>
        <v>50</v>
      </c>
      <c r="O64" s="55" t="s">
        <v>71</v>
      </c>
      <c r="P64" s="55">
        <v>63</v>
      </c>
      <c r="Q64" s="55" t="s">
        <v>497</v>
      </c>
      <c r="R64" s="55" t="s">
        <v>390</v>
      </c>
      <c r="S64" s="55">
        <v>38.4</v>
      </c>
      <c r="T64" s="55" t="s">
        <v>106</v>
      </c>
      <c r="U64" s="55">
        <v>3.3</v>
      </c>
      <c r="V64" s="55">
        <v>1</v>
      </c>
      <c r="W64" s="55">
        <v>4.3</v>
      </c>
      <c r="X64" s="55" t="s">
        <v>114</v>
      </c>
      <c r="Y64" s="55"/>
      <c r="AA64" s="61">
        <f t="shared" si="2"/>
        <v>50</v>
      </c>
      <c r="AB64" s="29" t="s">
        <v>71</v>
      </c>
      <c r="AC64" s="61">
        <v>63</v>
      </c>
      <c r="AD64" s="29" t="s">
        <v>996</v>
      </c>
      <c r="AE64" s="29" t="s">
        <v>997</v>
      </c>
      <c r="AF64" s="55">
        <v>27</v>
      </c>
      <c r="AG64" s="55" t="s">
        <v>106</v>
      </c>
      <c r="AH64" s="29">
        <v>3.5</v>
      </c>
      <c r="AI64" s="29">
        <v>1</v>
      </c>
      <c r="AJ64" s="29">
        <v>4.5</v>
      </c>
      <c r="AK64" s="29" t="s">
        <v>114</v>
      </c>
      <c r="AL64" s="61"/>
      <c r="AN64" s="29">
        <f t="shared" si="3"/>
        <v>50</v>
      </c>
      <c r="AO64" s="29" t="s">
        <v>71</v>
      </c>
      <c r="AP64" s="29">
        <v>63</v>
      </c>
      <c r="AQ64" s="29" t="s">
        <v>393</v>
      </c>
      <c r="AR64" s="29" t="s">
        <v>993</v>
      </c>
      <c r="AS64" s="55">
        <v>128.6</v>
      </c>
      <c r="AT64" s="55" t="s">
        <v>285</v>
      </c>
      <c r="AU64" s="55">
        <v>3</v>
      </c>
      <c r="AV64" s="29">
        <v>1</v>
      </c>
      <c r="AW64" s="29">
        <v>4</v>
      </c>
      <c r="AX64" s="29" t="s">
        <v>114</v>
      </c>
      <c r="AY64" s="29"/>
      <c r="BA64" s="29">
        <f t="shared" si="4"/>
        <v>50</v>
      </c>
      <c r="BB64" s="29" t="s">
        <v>71</v>
      </c>
      <c r="BC64" s="29"/>
      <c r="BD64" s="29" t="s">
        <v>488</v>
      </c>
      <c r="BE64" s="29" t="s">
        <v>532</v>
      </c>
      <c r="BF64" s="29">
        <v>355</v>
      </c>
      <c r="BG64" s="29" t="s">
        <v>106</v>
      </c>
      <c r="BH64" s="29">
        <v>3.3</v>
      </c>
      <c r="BI64" s="29">
        <v>1</v>
      </c>
      <c r="BJ64" s="29">
        <v>4.3</v>
      </c>
      <c r="BK64" s="29" t="s">
        <v>114</v>
      </c>
      <c r="BL64" s="29"/>
    </row>
    <row r="65" spans="2:64">
      <c r="B65" s="46"/>
      <c r="N65" s="55">
        <f t="shared" si="1"/>
        <v>51</v>
      </c>
      <c r="O65" s="55" t="s">
        <v>71</v>
      </c>
      <c r="P65" s="55">
        <v>63</v>
      </c>
      <c r="Q65" s="55" t="s">
        <v>390</v>
      </c>
      <c r="R65" s="55" t="s">
        <v>395</v>
      </c>
      <c r="S65" s="55">
        <v>73.599999999999994</v>
      </c>
      <c r="T65" s="55" t="s">
        <v>106</v>
      </c>
      <c r="U65" s="55">
        <v>3.3</v>
      </c>
      <c r="V65" s="55">
        <v>1</v>
      </c>
      <c r="W65" s="55">
        <v>4.3</v>
      </c>
      <c r="X65" s="55" t="s">
        <v>114</v>
      </c>
      <c r="Y65" s="55"/>
      <c r="AA65" s="61">
        <f t="shared" si="2"/>
        <v>51</v>
      </c>
      <c r="AB65" s="29" t="s">
        <v>71</v>
      </c>
      <c r="AC65" s="61">
        <v>63</v>
      </c>
      <c r="AD65" s="29" t="s">
        <v>987</v>
      </c>
      <c r="AE65" s="29" t="s">
        <v>997</v>
      </c>
      <c r="AF65" s="55">
        <v>80.5</v>
      </c>
      <c r="AG65" s="55" t="s">
        <v>106</v>
      </c>
      <c r="AH65" s="29">
        <v>3.5</v>
      </c>
      <c r="AI65" s="29">
        <v>1</v>
      </c>
      <c r="AJ65" s="29">
        <v>4.5</v>
      </c>
      <c r="AK65" s="29" t="s">
        <v>114</v>
      </c>
      <c r="AL65" s="61"/>
      <c r="AN65" s="29">
        <f t="shared" si="3"/>
        <v>51</v>
      </c>
      <c r="AO65" s="29" t="s">
        <v>71</v>
      </c>
      <c r="AP65" s="29">
        <v>63</v>
      </c>
      <c r="AQ65" s="29" t="s">
        <v>993</v>
      </c>
      <c r="AR65" s="29" t="s">
        <v>450</v>
      </c>
      <c r="AS65" s="55">
        <v>52.6</v>
      </c>
      <c r="AT65" s="55" t="s">
        <v>285</v>
      </c>
      <c r="AU65" s="55">
        <v>3</v>
      </c>
      <c r="AV65" s="29">
        <v>1</v>
      </c>
      <c r="AW65" s="29">
        <v>4</v>
      </c>
      <c r="AX65" s="29" t="s">
        <v>114</v>
      </c>
      <c r="AY65" s="29"/>
      <c r="BA65" s="29">
        <f t="shared" si="4"/>
        <v>51</v>
      </c>
      <c r="BB65" s="29" t="s">
        <v>71</v>
      </c>
      <c r="BC65" s="29"/>
      <c r="BD65" s="29" t="s">
        <v>908</v>
      </c>
      <c r="BE65" s="29" t="s">
        <v>353</v>
      </c>
      <c r="BF65" s="29">
        <v>202.3</v>
      </c>
      <c r="BG65" s="29" t="s">
        <v>106</v>
      </c>
      <c r="BH65" s="29">
        <v>3.3</v>
      </c>
      <c r="BI65" s="29">
        <v>1</v>
      </c>
      <c r="BJ65" s="29">
        <v>4.3</v>
      </c>
      <c r="BK65" s="29" t="s">
        <v>114</v>
      </c>
      <c r="BL65" s="29"/>
    </row>
    <row r="66" spans="2:64">
      <c r="B66" s="46"/>
      <c r="N66" s="324"/>
      <c r="O66" s="324"/>
      <c r="P66" s="325" t="s">
        <v>86</v>
      </c>
      <c r="Q66" s="325"/>
      <c r="R66" s="325"/>
      <c r="S66" s="325"/>
      <c r="T66" s="325" t="s">
        <v>87</v>
      </c>
      <c r="U66" s="325"/>
      <c r="V66" s="325"/>
      <c r="W66" s="325" t="s">
        <v>39</v>
      </c>
      <c r="X66" s="325"/>
      <c r="Y66" s="325"/>
      <c r="AA66" s="61">
        <f t="shared" si="2"/>
        <v>52</v>
      </c>
      <c r="AB66" s="29" t="s">
        <v>71</v>
      </c>
      <c r="AC66" s="61">
        <v>63</v>
      </c>
      <c r="AD66" s="29" t="s">
        <v>997</v>
      </c>
      <c r="AE66" s="29" t="s">
        <v>901</v>
      </c>
      <c r="AF66" s="55">
        <v>29.6</v>
      </c>
      <c r="AG66" s="55" t="s">
        <v>106</v>
      </c>
      <c r="AH66" s="29">
        <v>3.5</v>
      </c>
      <c r="AI66" s="29">
        <v>1</v>
      </c>
      <c r="AJ66" s="29">
        <v>4.5</v>
      </c>
      <c r="AK66" s="29" t="s">
        <v>114</v>
      </c>
      <c r="AL66" s="61"/>
      <c r="AN66" s="29">
        <f t="shared" si="3"/>
        <v>52</v>
      </c>
      <c r="AO66" s="29" t="s">
        <v>71</v>
      </c>
      <c r="AP66" s="29">
        <v>63</v>
      </c>
      <c r="AQ66" s="29" t="s">
        <v>361</v>
      </c>
      <c r="AR66" s="29" t="s">
        <v>371</v>
      </c>
      <c r="AS66" s="55">
        <v>33</v>
      </c>
      <c r="AT66" s="55" t="s">
        <v>285</v>
      </c>
      <c r="AU66" s="55">
        <v>3</v>
      </c>
      <c r="AV66" s="29">
        <v>1</v>
      </c>
      <c r="AW66" s="29">
        <v>4</v>
      </c>
      <c r="AX66" s="29" t="s">
        <v>114</v>
      </c>
      <c r="AY66" s="29"/>
      <c r="BA66" s="29"/>
      <c r="BB66" s="29"/>
      <c r="BC66" s="29"/>
      <c r="BD66" s="29"/>
      <c r="BE66" s="29"/>
      <c r="BF66" s="29"/>
      <c r="BG66" s="29"/>
      <c r="BH66" s="29"/>
      <c r="BI66" s="29"/>
      <c r="BJ66" s="29"/>
      <c r="BK66" s="29"/>
      <c r="BL66" s="29"/>
    </row>
    <row r="67" spans="2:64">
      <c r="B67" s="46"/>
      <c r="N67" s="295" t="s">
        <v>40</v>
      </c>
      <c r="O67" s="295"/>
      <c r="P67" s="317"/>
      <c r="Q67" s="317"/>
      <c r="R67" s="317"/>
      <c r="S67" s="317"/>
      <c r="T67" s="317"/>
      <c r="U67" s="317"/>
      <c r="V67" s="317"/>
      <c r="W67" s="317"/>
      <c r="X67" s="317"/>
      <c r="Y67" s="317"/>
      <c r="AA67" s="324"/>
      <c r="AB67" s="324"/>
      <c r="AC67" s="325" t="s">
        <v>86</v>
      </c>
      <c r="AD67" s="325"/>
      <c r="AE67" s="325"/>
      <c r="AF67" s="325"/>
      <c r="AG67" s="325" t="s">
        <v>87</v>
      </c>
      <c r="AH67" s="325"/>
      <c r="AI67" s="325"/>
      <c r="AJ67" s="325" t="s">
        <v>39</v>
      </c>
      <c r="AK67" s="325"/>
      <c r="AL67" s="325"/>
      <c r="AN67" s="29">
        <f t="shared" si="3"/>
        <v>53</v>
      </c>
      <c r="AO67" s="29" t="s">
        <v>71</v>
      </c>
      <c r="AP67" s="29">
        <v>63</v>
      </c>
      <c r="AQ67" s="29" t="s">
        <v>371</v>
      </c>
      <c r="AR67" s="29" t="s">
        <v>469</v>
      </c>
      <c r="AS67" s="55">
        <v>22</v>
      </c>
      <c r="AT67" s="55" t="s">
        <v>285</v>
      </c>
      <c r="AU67" s="55">
        <v>3</v>
      </c>
      <c r="AV67" s="29">
        <v>1</v>
      </c>
      <c r="AW67" s="29">
        <v>4</v>
      </c>
      <c r="AX67" s="29" t="s">
        <v>114</v>
      </c>
      <c r="AY67" s="29"/>
      <c r="BA67" s="324"/>
      <c r="BB67" s="324"/>
      <c r="BC67" s="325" t="s">
        <v>86</v>
      </c>
      <c r="BD67" s="325"/>
      <c r="BE67" s="325"/>
      <c r="BF67" s="325"/>
      <c r="BG67" s="325" t="s">
        <v>87</v>
      </c>
      <c r="BH67" s="325"/>
      <c r="BI67" s="325"/>
      <c r="BJ67" s="325" t="s">
        <v>39</v>
      </c>
      <c r="BK67" s="325"/>
      <c r="BL67" s="325"/>
    </row>
    <row r="68" spans="2:64">
      <c r="B68" s="46"/>
      <c r="N68" s="295" t="s">
        <v>41</v>
      </c>
      <c r="O68" s="295"/>
      <c r="P68" s="317"/>
      <c r="Q68" s="317"/>
      <c r="R68" s="317"/>
      <c r="S68" s="317"/>
      <c r="T68" s="317"/>
      <c r="U68" s="317"/>
      <c r="V68" s="317"/>
      <c r="W68" s="317"/>
      <c r="X68" s="317"/>
      <c r="Y68" s="317"/>
      <c r="AA68" s="295" t="s">
        <v>40</v>
      </c>
      <c r="AB68" s="295"/>
      <c r="AC68" s="317"/>
      <c r="AD68" s="317"/>
      <c r="AE68" s="317"/>
      <c r="AF68" s="317"/>
      <c r="AG68" s="317"/>
      <c r="AH68" s="317"/>
      <c r="AI68" s="317"/>
      <c r="AJ68" s="317"/>
      <c r="AK68" s="317"/>
      <c r="AL68" s="317"/>
      <c r="AN68" s="29">
        <f t="shared" si="3"/>
        <v>54</v>
      </c>
      <c r="AO68" s="29" t="s">
        <v>71</v>
      </c>
      <c r="AP68" s="29">
        <v>63</v>
      </c>
      <c r="AQ68" s="29" t="s">
        <v>371</v>
      </c>
      <c r="AR68" s="29" t="s">
        <v>895</v>
      </c>
      <c r="AS68" s="55">
        <v>122.7</v>
      </c>
      <c r="AT68" s="55" t="s">
        <v>285</v>
      </c>
      <c r="AU68" s="55">
        <v>3</v>
      </c>
      <c r="AV68" s="29">
        <v>1</v>
      </c>
      <c r="AW68" s="29">
        <v>4</v>
      </c>
      <c r="AX68" s="29" t="s">
        <v>114</v>
      </c>
      <c r="AY68" s="29"/>
      <c r="BA68" s="295" t="s">
        <v>40</v>
      </c>
      <c r="BB68" s="295"/>
      <c r="BC68" s="317"/>
      <c r="BD68" s="317"/>
      <c r="BE68" s="317"/>
      <c r="BF68" s="317"/>
      <c r="BG68" s="317"/>
      <c r="BH68" s="317"/>
      <c r="BI68" s="317"/>
      <c r="BJ68" s="317"/>
      <c r="BK68" s="317"/>
      <c r="BL68" s="317"/>
    </row>
    <row r="69" spans="2:64">
      <c r="B69" s="46"/>
      <c r="N69" s="295" t="s">
        <v>42</v>
      </c>
      <c r="O69" s="295"/>
      <c r="P69" s="317"/>
      <c r="Q69" s="317"/>
      <c r="R69" s="317"/>
      <c r="S69" s="317"/>
      <c r="T69" s="317"/>
      <c r="U69" s="317"/>
      <c r="V69" s="317"/>
      <c r="W69" s="317"/>
      <c r="X69" s="317"/>
      <c r="Y69" s="317"/>
      <c r="AA69" s="295" t="s">
        <v>41</v>
      </c>
      <c r="AB69" s="295"/>
      <c r="AC69" s="317"/>
      <c r="AD69" s="317"/>
      <c r="AE69" s="317"/>
      <c r="AF69" s="317"/>
      <c r="AG69" s="317"/>
      <c r="AH69" s="317"/>
      <c r="AI69" s="317"/>
      <c r="AJ69" s="317"/>
      <c r="AK69" s="317"/>
      <c r="AL69" s="317"/>
      <c r="AN69" s="29">
        <f t="shared" si="3"/>
        <v>55</v>
      </c>
      <c r="AO69" s="29" t="s">
        <v>71</v>
      </c>
      <c r="AP69" s="29">
        <v>63</v>
      </c>
      <c r="AQ69" s="29" t="s">
        <v>388</v>
      </c>
      <c r="AR69" s="29" t="s">
        <v>457</v>
      </c>
      <c r="AS69" s="55">
        <v>63</v>
      </c>
      <c r="AT69" s="55" t="s">
        <v>285</v>
      </c>
      <c r="AU69" s="55">
        <v>3</v>
      </c>
      <c r="AV69" s="29">
        <v>1</v>
      </c>
      <c r="AW69" s="29">
        <v>4</v>
      </c>
      <c r="AX69" s="29" t="s">
        <v>114</v>
      </c>
      <c r="AY69" s="29"/>
      <c r="BA69" s="295" t="s">
        <v>41</v>
      </c>
      <c r="BB69" s="295"/>
      <c r="BC69" s="317"/>
      <c r="BD69" s="317"/>
      <c r="BE69" s="317"/>
      <c r="BF69" s="317"/>
      <c r="BG69" s="317"/>
      <c r="BH69" s="317"/>
      <c r="BI69" s="317"/>
      <c r="BJ69" s="317"/>
      <c r="BK69" s="317"/>
      <c r="BL69" s="317"/>
    </row>
    <row r="70" spans="2:64">
      <c r="B70" s="46"/>
      <c r="N70" s="295" t="s">
        <v>43</v>
      </c>
      <c r="O70" s="295"/>
      <c r="P70" s="315"/>
      <c r="Q70" s="316"/>
      <c r="R70" s="316"/>
      <c r="S70" s="316"/>
      <c r="T70" s="317"/>
      <c r="U70" s="317"/>
      <c r="V70" s="317"/>
      <c r="W70" s="317"/>
      <c r="X70" s="317"/>
      <c r="Y70" s="317"/>
      <c r="AA70" s="295" t="s">
        <v>42</v>
      </c>
      <c r="AB70" s="295"/>
      <c r="AC70" s="317"/>
      <c r="AD70" s="317"/>
      <c r="AE70" s="317"/>
      <c r="AF70" s="317"/>
      <c r="AG70" s="317"/>
      <c r="AH70" s="317"/>
      <c r="AI70" s="317"/>
      <c r="AJ70" s="317"/>
      <c r="AK70" s="317"/>
      <c r="AL70" s="317"/>
      <c r="AN70" s="29">
        <f t="shared" si="3"/>
        <v>56</v>
      </c>
      <c r="AO70" s="29" t="s">
        <v>71</v>
      </c>
      <c r="AP70" s="29">
        <v>63</v>
      </c>
      <c r="AQ70" s="29" t="s">
        <v>388</v>
      </c>
      <c r="AR70" s="29" t="s">
        <v>327</v>
      </c>
      <c r="AS70" s="55">
        <v>69</v>
      </c>
      <c r="AT70" s="55" t="s">
        <v>285</v>
      </c>
      <c r="AU70" s="55">
        <v>3</v>
      </c>
      <c r="AV70" s="29">
        <v>1</v>
      </c>
      <c r="AW70" s="29">
        <v>4</v>
      </c>
      <c r="AX70" s="29" t="s">
        <v>114</v>
      </c>
      <c r="AY70" s="29"/>
      <c r="BA70" s="295" t="s">
        <v>42</v>
      </c>
      <c r="BB70" s="295"/>
      <c r="BC70" s="317"/>
      <c r="BD70" s="317"/>
      <c r="BE70" s="317"/>
      <c r="BF70" s="317"/>
      <c r="BG70" s="317"/>
      <c r="BH70" s="317"/>
      <c r="BI70" s="317"/>
      <c r="BJ70" s="317"/>
      <c r="BK70" s="317"/>
      <c r="BL70" s="317"/>
    </row>
    <row r="71" spans="2:64">
      <c r="B71" s="46"/>
      <c r="AA71" s="295" t="s">
        <v>43</v>
      </c>
      <c r="AB71" s="295"/>
      <c r="AC71" s="315"/>
      <c r="AD71" s="316"/>
      <c r="AE71" s="316"/>
      <c r="AF71" s="316"/>
      <c r="AG71" s="317"/>
      <c r="AH71" s="317"/>
      <c r="AI71" s="317"/>
      <c r="AJ71" s="317"/>
      <c r="AK71" s="317"/>
      <c r="AL71" s="317"/>
      <c r="AN71" s="29">
        <f t="shared" si="3"/>
        <v>57</v>
      </c>
      <c r="AO71" s="29" t="s">
        <v>71</v>
      </c>
      <c r="AP71" s="29">
        <v>63</v>
      </c>
      <c r="AQ71" s="29" t="s">
        <v>302</v>
      </c>
      <c r="AR71" s="29" t="s">
        <v>358</v>
      </c>
      <c r="AS71" s="55">
        <v>29</v>
      </c>
      <c r="AT71" s="55" t="s">
        <v>285</v>
      </c>
      <c r="AU71" s="55">
        <v>3</v>
      </c>
      <c r="AV71" s="29">
        <v>1</v>
      </c>
      <c r="AW71" s="29">
        <v>4</v>
      </c>
      <c r="AX71" s="29" t="s">
        <v>114</v>
      </c>
      <c r="AY71" s="29"/>
      <c r="BA71" s="295" t="s">
        <v>43</v>
      </c>
      <c r="BB71" s="295"/>
      <c r="BC71" s="315"/>
      <c r="BD71" s="316"/>
      <c r="BE71" s="316"/>
      <c r="BF71" s="316"/>
      <c r="BG71" s="317"/>
      <c r="BH71" s="317"/>
      <c r="BI71" s="317"/>
      <c r="BJ71" s="317"/>
      <c r="BK71" s="317"/>
      <c r="BL71" s="317"/>
    </row>
    <row r="72" spans="2:64">
      <c r="B72" s="46"/>
      <c r="S72">
        <f>+SUM(S15:S65)</f>
        <v>3381.2</v>
      </c>
      <c r="AN72" s="29">
        <f t="shared" si="3"/>
        <v>58</v>
      </c>
      <c r="AO72" s="29" t="s">
        <v>71</v>
      </c>
      <c r="AP72" s="29">
        <v>63</v>
      </c>
      <c r="AQ72" s="29" t="s">
        <v>358</v>
      </c>
      <c r="AR72" s="29" t="s">
        <v>326</v>
      </c>
      <c r="AS72" s="55">
        <v>26</v>
      </c>
      <c r="AT72" s="55" t="s">
        <v>285</v>
      </c>
      <c r="AU72" s="55">
        <v>3</v>
      </c>
      <c r="AV72" s="29">
        <v>1</v>
      </c>
      <c r="AW72" s="29">
        <v>4</v>
      </c>
      <c r="AX72" s="29" t="s">
        <v>114</v>
      </c>
      <c r="AY72" s="29"/>
    </row>
    <row r="73" spans="2:64">
      <c r="B73" s="46"/>
      <c r="AF73">
        <f>+SUM(AF15:AF66)</f>
        <v>3449.1000000000004</v>
      </c>
      <c r="AN73" s="29">
        <f t="shared" si="3"/>
        <v>59</v>
      </c>
      <c r="AO73" s="29" t="s">
        <v>71</v>
      </c>
      <c r="AP73" s="29">
        <v>63</v>
      </c>
      <c r="AQ73" s="29" t="s">
        <v>358</v>
      </c>
      <c r="AR73" s="29" t="s">
        <v>434</v>
      </c>
      <c r="AS73" s="55">
        <v>18</v>
      </c>
      <c r="AT73" s="55" t="s">
        <v>285</v>
      </c>
      <c r="AU73" s="55">
        <v>3</v>
      </c>
      <c r="AV73" s="29">
        <v>1</v>
      </c>
      <c r="AW73" s="29">
        <v>4</v>
      </c>
      <c r="AX73" s="29" t="s">
        <v>114</v>
      </c>
      <c r="AY73" s="29"/>
      <c r="BF73">
        <f>+SUM(BF15:BF65)</f>
        <v>3654.7</v>
      </c>
    </row>
    <row r="74" spans="2:64">
      <c r="B74" s="46"/>
      <c r="AN74" s="29">
        <f t="shared" si="3"/>
        <v>60</v>
      </c>
      <c r="AO74" s="29" t="s">
        <v>71</v>
      </c>
      <c r="AP74" s="29">
        <v>63</v>
      </c>
      <c r="AQ74" s="29" t="s">
        <v>358</v>
      </c>
      <c r="AR74" s="29" t="s">
        <v>434</v>
      </c>
      <c r="AS74" s="55">
        <v>30</v>
      </c>
      <c r="AT74" s="55" t="s">
        <v>285</v>
      </c>
      <c r="AU74" s="55">
        <v>3</v>
      </c>
      <c r="AV74" s="29">
        <v>1</v>
      </c>
      <c r="AW74" s="29">
        <v>4</v>
      </c>
      <c r="AX74" s="29" t="s">
        <v>114</v>
      </c>
      <c r="AY74" s="29"/>
    </row>
    <row r="75" spans="2:64">
      <c r="B75" s="46"/>
      <c r="AN75" s="29">
        <f t="shared" si="3"/>
        <v>61</v>
      </c>
      <c r="AO75" s="29" t="s">
        <v>71</v>
      </c>
      <c r="AP75" s="29">
        <v>63</v>
      </c>
      <c r="AQ75" s="29" t="s">
        <v>434</v>
      </c>
      <c r="AR75" s="29" t="s">
        <v>289</v>
      </c>
      <c r="AS75" s="55">
        <v>14.6</v>
      </c>
      <c r="AT75" s="55" t="s">
        <v>285</v>
      </c>
      <c r="AU75" s="55">
        <v>3</v>
      </c>
      <c r="AV75" s="29">
        <v>1</v>
      </c>
      <c r="AW75" s="29">
        <v>4</v>
      </c>
      <c r="AX75" s="29" t="s">
        <v>114</v>
      </c>
      <c r="AY75" s="29"/>
    </row>
    <row r="76" spans="2:64">
      <c r="B76" s="46"/>
      <c r="AN76" s="29">
        <f t="shared" si="3"/>
        <v>62</v>
      </c>
      <c r="AO76" s="29" t="s">
        <v>71</v>
      </c>
      <c r="AP76" s="29">
        <v>63</v>
      </c>
      <c r="AQ76" s="29" t="s">
        <v>289</v>
      </c>
      <c r="AR76" s="29" t="s">
        <v>460</v>
      </c>
      <c r="AS76" s="55">
        <v>45.2</v>
      </c>
      <c r="AT76" s="55" t="s">
        <v>285</v>
      </c>
      <c r="AU76" s="55">
        <v>3</v>
      </c>
      <c r="AV76" s="29">
        <v>1</v>
      </c>
      <c r="AW76" s="29">
        <v>4</v>
      </c>
      <c r="AX76" s="29" t="s">
        <v>114</v>
      </c>
      <c r="AY76" s="29"/>
    </row>
    <row r="77" spans="2:64">
      <c r="B77" s="46"/>
      <c r="AN77" s="29">
        <f t="shared" si="3"/>
        <v>63</v>
      </c>
      <c r="AO77" s="29" t="s">
        <v>71</v>
      </c>
      <c r="AP77" s="29">
        <v>63</v>
      </c>
      <c r="AQ77" s="29" t="s">
        <v>289</v>
      </c>
      <c r="AR77" s="29" t="s">
        <v>424</v>
      </c>
      <c r="AS77" s="55">
        <v>55.9</v>
      </c>
      <c r="AT77" s="55" t="s">
        <v>285</v>
      </c>
      <c r="AU77" s="55">
        <v>3</v>
      </c>
      <c r="AV77" s="29">
        <v>1</v>
      </c>
      <c r="AW77" s="29">
        <v>4</v>
      </c>
      <c r="AX77" s="29" t="s">
        <v>114</v>
      </c>
      <c r="AY77" s="29"/>
    </row>
    <row r="78" spans="2:64">
      <c r="B78" s="46"/>
      <c r="AN78" s="29">
        <f t="shared" si="3"/>
        <v>64</v>
      </c>
      <c r="AO78" s="29" t="s">
        <v>71</v>
      </c>
      <c r="AP78" s="29">
        <v>63</v>
      </c>
      <c r="AQ78" s="29" t="s">
        <v>434</v>
      </c>
      <c r="AR78" s="29" t="s">
        <v>360</v>
      </c>
      <c r="AS78" s="55">
        <v>8.3000000000000007</v>
      </c>
      <c r="AT78" s="55" t="s">
        <v>285</v>
      </c>
      <c r="AU78" s="55">
        <v>3</v>
      </c>
      <c r="AV78" s="29">
        <v>1</v>
      </c>
      <c r="AW78" s="29">
        <v>4</v>
      </c>
      <c r="AX78" s="29" t="s">
        <v>114</v>
      </c>
      <c r="AY78" s="29"/>
    </row>
    <row r="79" spans="2:64">
      <c r="B79" s="46"/>
      <c r="AN79" s="324"/>
      <c r="AO79" s="324"/>
      <c r="AP79" s="325" t="s">
        <v>86</v>
      </c>
      <c r="AQ79" s="325"/>
      <c r="AR79" s="325"/>
      <c r="AS79" s="325"/>
      <c r="AT79" s="325" t="s">
        <v>87</v>
      </c>
      <c r="AU79" s="325"/>
      <c r="AV79" s="325"/>
      <c r="AW79" s="325" t="s">
        <v>39</v>
      </c>
      <c r="AX79" s="325"/>
      <c r="AY79" s="325"/>
    </row>
    <row r="80" spans="2:64">
      <c r="B80" s="46"/>
      <c r="AN80" s="295" t="s">
        <v>40</v>
      </c>
      <c r="AO80" s="295"/>
      <c r="AP80" s="317"/>
      <c r="AQ80" s="317"/>
      <c r="AR80" s="317"/>
      <c r="AS80" s="317"/>
      <c r="AT80" s="317"/>
      <c r="AU80" s="317"/>
      <c r="AV80" s="317"/>
      <c r="AW80" s="317"/>
      <c r="AX80" s="317"/>
      <c r="AY80" s="317"/>
      <c r="BG80">
        <f>+BF73+AS85+AF73+S72+F61</f>
        <v>17895</v>
      </c>
    </row>
    <row r="81" spans="2:51">
      <c r="B81" s="46"/>
      <c r="AN81" s="295" t="s">
        <v>41</v>
      </c>
      <c r="AO81" s="295"/>
      <c r="AP81" s="317"/>
      <c r="AQ81" s="317"/>
      <c r="AR81" s="317"/>
      <c r="AS81" s="317"/>
      <c r="AT81" s="317"/>
      <c r="AU81" s="317"/>
      <c r="AV81" s="317"/>
      <c r="AW81" s="317"/>
      <c r="AX81" s="317"/>
      <c r="AY81" s="317"/>
    </row>
    <row r="82" spans="2:51">
      <c r="B82" s="46"/>
      <c r="AN82" s="295" t="s">
        <v>42</v>
      </c>
      <c r="AO82" s="295"/>
      <c r="AP82" s="317"/>
      <c r="AQ82" s="317"/>
      <c r="AR82" s="317"/>
      <c r="AS82" s="317"/>
      <c r="AT82" s="317"/>
      <c r="AU82" s="317"/>
      <c r="AV82" s="317"/>
      <c r="AW82" s="317"/>
      <c r="AX82" s="317"/>
      <c r="AY82" s="317"/>
    </row>
    <row r="83" spans="2:51">
      <c r="B83" s="46"/>
      <c r="AN83" s="295" t="s">
        <v>43</v>
      </c>
      <c r="AO83" s="295"/>
      <c r="AP83" s="315"/>
      <c r="AQ83" s="316"/>
      <c r="AR83" s="316"/>
      <c r="AS83" s="316"/>
      <c r="AT83" s="317"/>
      <c r="AU83" s="317"/>
      <c r="AV83" s="317"/>
      <c r="AW83" s="317"/>
      <c r="AX83" s="317"/>
      <c r="AY83" s="317"/>
    </row>
    <row r="84" spans="2:51">
      <c r="B84" s="46"/>
    </row>
    <row r="85" spans="2:51">
      <c r="B85" s="46"/>
      <c r="AS85">
        <f>+SUM(AS15:AS78)</f>
        <v>3884.2999999999993</v>
      </c>
    </row>
    <row r="86" spans="2:51">
      <c r="B86" s="46"/>
    </row>
    <row r="87" spans="2:51">
      <c r="B87" s="46"/>
    </row>
    <row r="88" spans="2:51">
      <c r="B88" s="46"/>
    </row>
    <row r="89" spans="2:51">
      <c r="B89" s="46"/>
    </row>
    <row r="90" spans="2:51">
      <c r="B90" s="46"/>
    </row>
    <row r="91" spans="2:51">
      <c r="B91" s="46"/>
    </row>
    <row r="92" spans="2:51">
      <c r="B92" s="46"/>
    </row>
    <row r="93" spans="2:51">
      <c r="B93" s="46"/>
    </row>
    <row r="94" spans="2:51">
      <c r="B94" s="46"/>
    </row>
    <row r="95" spans="2:51">
      <c r="B95" s="46"/>
    </row>
    <row r="96" spans="2:51">
      <c r="B96" s="46"/>
    </row>
    <row r="97" spans="2:2">
      <c r="B97" s="46"/>
    </row>
    <row r="98" spans="2:2">
      <c r="B98" s="46"/>
    </row>
    <row r="99" spans="2:2">
      <c r="B99" s="46"/>
    </row>
    <row r="100" spans="2:2">
      <c r="B100" s="46"/>
    </row>
    <row r="101" spans="2:2">
      <c r="B101" s="46"/>
    </row>
    <row r="102" spans="2:2">
      <c r="B102" s="46"/>
    </row>
    <row r="103" spans="2:2">
      <c r="B103" s="46"/>
    </row>
    <row r="104" spans="2:2">
      <c r="B104" s="46"/>
    </row>
    <row r="105" spans="2:2">
      <c r="B105" s="46"/>
    </row>
    <row r="106" spans="2:2">
      <c r="B106" s="46"/>
    </row>
    <row r="107" spans="2:2">
      <c r="B107" s="46"/>
    </row>
    <row r="108" spans="2:2">
      <c r="B108" s="46"/>
    </row>
    <row r="109" spans="2:2">
      <c r="B109" s="46"/>
    </row>
    <row r="110" spans="2:2">
      <c r="B110" s="46"/>
    </row>
    <row r="111" spans="2:2">
      <c r="B111" s="46"/>
    </row>
    <row r="112" spans="2:2">
      <c r="B112" s="46"/>
    </row>
    <row r="113" spans="2:2">
      <c r="B113" s="46"/>
    </row>
    <row r="114" spans="2:2">
      <c r="B114" s="46"/>
    </row>
    <row r="115" spans="2:2">
      <c r="B115" s="46"/>
    </row>
    <row r="116" spans="2:2">
      <c r="B116" s="46"/>
    </row>
    <row r="117" spans="2:2">
      <c r="B117" s="46"/>
    </row>
    <row r="118" spans="2:2">
      <c r="B118" s="46"/>
    </row>
    <row r="119" spans="2:2">
      <c r="B119" s="46"/>
    </row>
    <row r="120" spans="2:2">
      <c r="B120" s="46"/>
    </row>
    <row r="121" spans="2:2">
      <c r="B121" s="46"/>
    </row>
    <row r="122" spans="2:2">
      <c r="B122" s="46"/>
    </row>
    <row r="123" spans="2:2">
      <c r="B123" s="46"/>
    </row>
    <row r="124" spans="2:2">
      <c r="B124" s="46"/>
    </row>
    <row r="125" spans="2:2">
      <c r="B125" s="46"/>
    </row>
    <row r="126" spans="2:2">
      <c r="B126" s="46"/>
    </row>
    <row r="127" spans="2:2">
      <c r="B127" s="46"/>
    </row>
    <row r="128" spans="2:2">
      <c r="B128" s="46"/>
    </row>
    <row r="129" spans="2:2">
      <c r="B129" s="46"/>
    </row>
    <row r="130" spans="2:2">
      <c r="B130" s="46"/>
    </row>
    <row r="131" spans="2:2">
      <c r="B131" s="46"/>
    </row>
    <row r="132" spans="2:2">
      <c r="B132" s="46"/>
    </row>
    <row r="133" spans="2:2">
      <c r="B133" s="46"/>
    </row>
    <row r="134" spans="2:2">
      <c r="B134" s="46"/>
    </row>
    <row r="135" spans="2:2">
      <c r="B135" s="46"/>
    </row>
    <row r="136" spans="2:2">
      <c r="B136" s="46"/>
    </row>
    <row r="137" spans="2:2">
      <c r="B137" s="46"/>
    </row>
    <row r="138" spans="2:2">
      <c r="B138" s="46"/>
    </row>
    <row r="139" spans="2:2">
      <c r="B139" s="46"/>
    </row>
    <row r="140" spans="2:2">
      <c r="B140" s="46"/>
    </row>
    <row r="141" spans="2:2">
      <c r="B141" s="46"/>
    </row>
    <row r="142" spans="2:2">
      <c r="B142" s="46"/>
    </row>
    <row r="143" spans="2:2">
      <c r="B143" s="46"/>
    </row>
    <row r="144" spans="2:2">
      <c r="B144" s="46"/>
    </row>
    <row r="145" spans="2:2">
      <c r="B145" s="46"/>
    </row>
    <row r="146" spans="2:2">
      <c r="B146" s="46"/>
    </row>
    <row r="147" spans="2:2">
      <c r="B147" s="46"/>
    </row>
    <row r="148" spans="2:2">
      <c r="B148" s="46"/>
    </row>
    <row r="149" spans="2:2">
      <c r="B149" s="46"/>
    </row>
    <row r="150" spans="2:2">
      <c r="B150" s="46"/>
    </row>
    <row r="151" spans="2:2">
      <c r="B151" s="46"/>
    </row>
    <row r="152" spans="2:2">
      <c r="B152" s="46"/>
    </row>
    <row r="153" spans="2:2">
      <c r="B153" s="46"/>
    </row>
    <row r="154" spans="2:2">
      <c r="B154" s="46"/>
    </row>
    <row r="155" spans="2:2">
      <c r="B155" s="46"/>
    </row>
    <row r="156" spans="2:2">
      <c r="B156" s="46"/>
    </row>
    <row r="157" spans="2:2">
      <c r="B157" s="46"/>
    </row>
    <row r="158" spans="2:2">
      <c r="B158" s="46"/>
    </row>
  </sheetData>
  <mergeCells count="200">
    <mergeCell ref="A5:B5"/>
    <mergeCell ref="N5:O5"/>
    <mergeCell ref="AA5:AB5"/>
    <mergeCell ref="AN5:AO5"/>
    <mergeCell ref="BA5:BB5"/>
    <mergeCell ref="A6:B6"/>
    <mergeCell ref="N6:O6"/>
    <mergeCell ref="AA6:AB6"/>
    <mergeCell ref="AN6:AO6"/>
    <mergeCell ref="BA6:BB6"/>
    <mergeCell ref="A7:B7"/>
    <mergeCell ref="N7:O7"/>
    <mergeCell ref="AA7:AB7"/>
    <mergeCell ref="AN7:AO7"/>
    <mergeCell ref="BA7:BB7"/>
    <mergeCell ref="A8:B8"/>
    <mergeCell ref="N8:O8"/>
    <mergeCell ref="AA8:AB8"/>
    <mergeCell ref="AN8:AO8"/>
    <mergeCell ref="BA8:BB8"/>
    <mergeCell ref="A9:L9"/>
    <mergeCell ref="N9:Y9"/>
    <mergeCell ref="AA9:AL9"/>
    <mergeCell ref="AN9:AY9"/>
    <mergeCell ref="BA9:BL9"/>
    <mergeCell ref="A11:L11"/>
    <mergeCell ref="N11:Y11"/>
    <mergeCell ref="AA11:AL11"/>
    <mergeCell ref="AN11:AY11"/>
    <mergeCell ref="BA11:BL11"/>
    <mergeCell ref="B12:F12"/>
    <mergeCell ref="H12:L12"/>
    <mergeCell ref="O12:S12"/>
    <mergeCell ref="U12:Y12"/>
    <mergeCell ref="AB12:AF12"/>
    <mergeCell ref="AH12:AL12"/>
    <mergeCell ref="AO12:AS12"/>
    <mergeCell ref="AU12:AY12"/>
    <mergeCell ref="BB12:BF12"/>
    <mergeCell ref="AH13:AJ13"/>
    <mergeCell ref="AU13:AW13"/>
    <mergeCell ref="BH13:BJ13"/>
    <mergeCell ref="A55:B55"/>
    <mergeCell ref="C55:F55"/>
    <mergeCell ref="G55:I55"/>
    <mergeCell ref="J55:L55"/>
    <mergeCell ref="AL13:AL14"/>
    <mergeCell ref="AY13:AY14"/>
    <mergeCell ref="A56:B56"/>
    <mergeCell ref="C56:F56"/>
    <mergeCell ref="G56:I56"/>
    <mergeCell ref="J56:L56"/>
    <mergeCell ref="A57:B57"/>
    <mergeCell ref="C57:F57"/>
    <mergeCell ref="G57:I57"/>
    <mergeCell ref="J57:L57"/>
    <mergeCell ref="A58:B58"/>
    <mergeCell ref="C58:F58"/>
    <mergeCell ref="G58:I58"/>
    <mergeCell ref="J58:L58"/>
    <mergeCell ref="A59:B59"/>
    <mergeCell ref="C59:F59"/>
    <mergeCell ref="G59:I59"/>
    <mergeCell ref="J59:L59"/>
    <mergeCell ref="N66:O66"/>
    <mergeCell ref="P66:S66"/>
    <mergeCell ref="T66:V66"/>
    <mergeCell ref="W66:Y66"/>
    <mergeCell ref="N67:O67"/>
    <mergeCell ref="P67:S67"/>
    <mergeCell ref="T67:V67"/>
    <mergeCell ref="W67:Y67"/>
    <mergeCell ref="AA67:AB67"/>
    <mergeCell ref="AC67:AF67"/>
    <mergeCell ref="AG67:AI67"/>
    <mergeCell ref="AJ67:AL67"/>
    <mergeCell ref="BA67:BB67"/>
    <mergeCell ref="BC67:BF67"/>
    <mergeCell ref="BG67:BI67"/>
    <mergeCell ref="BJ67:BL67"/>
    <mergeCell ref="N68:O68"/>
    <mergeCell ref="P68:S68"/>
    <mergeCell ref="T68:V68"/>
    <mergeCell ref="W68:Y68"/>
    <mergeCell ref="AA68:AB68"/>
    <mergeCell ref="AC68:AF68"/>
    <mergeCell ref="AG68:AI68"/>
    <mergeCell ref="AJ68:AL68"/>
    <mergeCell ref="BA68:BB68"/>
    <mergeCell ref="BC68:BF68"/>
    <mergeCell ref="BG68:BI68"/>
    <mergeCell ref="BJ68:BL68"/>
    <mergeCell ref="BC69:BF69"/>
    <mergeCell ref="BG69:BI69"/>
    <mergeCell ref="BJ69:BL69"/>
    <mergeCell ref="N70:O70"/>
    <mergeCell ref="P70:S70"/>
    <mergeCell ref="T70:V70"/>
    <mergeCell ref="W70:Y70"/>
    <mergeCell ref="AA70:AB70"/>
    <mergeCell ref="AC70:AF70"/>
    <mergeCell ref="AG70:AI70"/>
    <mergeCell ref="AJ70:AL70"/>
    <mergeCell ref="BA70:BB70"/>
    <mergeCell ref="BC70:BF70"/>
    <mergeCell ref="BG70:BI70"/>
    <mergeCell ref="BJ70:BL70"/>
    <mergeCell ref="N69:O69"/>
    <mergeCell ref="P69:S69"/>
    <mergeCell ref="T69:V69"/>
    <mergeCell ref="W69:Y69"/>
    <mergeCell ref="AA69:AB69"/>
    <mergeCell ref="AC69:AF69"/>
    <mergeCell ref="AG69:AI69"/>
    <mergeCell ref="AJ69:AL69"/>
    <mergeCell ref="BA69:BB69"/>
    <mergeCell ref="AA71:AB71"/>
    <mergeCell ref="AC71:AF71"/>
    <mergeCell ref="AG71:AI71"/>
    <mergeCell ref="AJ71:AL71"/>
    <mergeCell ref="BA71:BB71"/>
    <mergeCell ref="BC71:BF71"/>
    <mergeCell ref="BG71:BI71"/>
    <mergeCell ref="BJ71:BL71"/>
    <mergeCell ref="AN79:AO79"/>
    <mergeCell ref="AP79:AS79"/>
    <mergeCell ref="AT79:AV79"/>
    <mergeCell ref="AW79:AY79"/>
    <mergeCell ref="AN80:AO80"/>
    <mergeCell ref="AP80:AS80"/>
    <mergeCell ref="AT80:AV80"/>
    <mergeCell ref="AW80:AY80"/>
    <mergeCell ref="AN81:AO81"/>
    <mergeCell ref="AP81:AS81"/>
    <mergeCell ref="AT81:AV81"/>
    <mergeCell ref="AW81:AY81"/>
    <mergeCell ref="AN82:AO82"/>
    <mergeCell ref="AP82:AS82"/>
    <mergeCell ref="AT82:AV82"/>
    <mergeCell ref="AW82:AY82"/>
    <mergeCell ref="AN83:AO83"/>
    <mergeCell ref="AP83:AS83"/>
    <mergeCell ref="AT83:AV83"/>
    <mergeCell ref="AW83:AY83"/>
    <mergeCell ref="A1:A4"/>
    <mergeCell ref="A13:A14"/>
    <mergeCell ref="B13:B14"/>
    <mergeCell ref="C13:C14"/>
    <mergeCell ref="D13:D14"/>
    <mergeCell ref="E13:E14"/>
    <mergeCell ref="F13:F14"/>
    <mergeCell ref="G13:G14"/>
    <mergeCell ref="K13:K14"/>
    <mergeCell ref="L13:L14"/>
    <mergeCell ref="N1:N4"/>
    <mergeCell ref="N13:N14"/>
    <mergeCell ref="O13:O14"/>
    <mergeCell ref="P13:P14"/>
    <mergeCell ref="Q13:Q14"/>
    <mergeCell ref="R13:R14"/>
    <mergeCell ref="S13:S14"/>
    <mergeCell ref="T13:T14"/>
    <mergeCell ref="X13:X14"/>
    <mergeCell ref="Y13:Y14"/>
    <mergeCell ref="BK13:BK14"/>
    <mergeCell ref="AN1:AN4"/>
    <mergeCell ref="AN13:AN14"/>
    <mergeCell ref="AO13:AO14"/>
    <mergeCell ref="AP13:AP14"/>
    <mergeCell ref="AQ13:AQ14"/>
    <mergeCell ref="AR13:AR14"/>
    <mergeCell ref="AS13:AS14"/>
    <mergeCell ref="AT13:AT14"/>
    <mergeCell ref="AX13:AX14"/>
    <mergeCell ref="BH12:BL12"/>
    <mergeCell ref="BL13:BL14"/>
    <mergeCell ref="B1:I4"/>
    <mergeCell ref="O1:V4"/>
    <mergeCell ref="AB1:AI4"/>
    <mergeCell ref="AO1:AV4"/>
    <mergeCell ref="BB1:BI4"/>
    <mergeCell ref="BA1:BA4"/>
    <mergeCell ref="BA13:BA14"/>
    <mergeCell ref="BB13:BB14"/>
    <mergeCell ref="BC13:BC14"/>
    <mergeCell ref="BD13:BD14"/>
    <mergeCell ref="BE13:BE14"/>
    <mergeCell ref="BF13:BF14"/>
    <mergeCell ref="BG13:BG14"/>
    <mergeCell ref="AA1:AA4"/>
    <mergeCell ref="AA13:AA14"/>
    <mergeCell ref="AB13:AB14"/>
    <mergeCell ref="AC13:AC14"/>
    <mergeCell ref="AD13:AD14"/>
    <mergeCell ref="AE13:AE14"/>
    <mergeCell ref="AF13:AF14"/>
    <mergeCell ref="AG13:AG14"/>
    <mergeCell ref="AK13:AK14"/>
    <mergeCell ref="H13:J13"/>
    <mergeCell ref="U13:W13"/>
  </mergeCell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E5:AT195"/>
  <sheetViews>
    <sheetView view="pageBreakPreview" zoomScale="25" zoomScaleNormal="70" workbookViewId="0">
      <selection activeCell="AQ19" sqref="AQ19:AQ46"/>
    </sheetView>
  </sheetViews>
  <sheetFormatPr defaultColWidth="9" defaultRowHeight="15"/>
  <cols>
    <col min="11" max="11" width="22.28515625" customWidth="1"/>
    <col min="26" max="26" width="10.28515625" customWidth="1"/>
    <col min="27" max="27" width="13.7109375" customWidth="1"/>
    <col min="31" max="31" width="11.140625" customWidth="1"/>
    <col min="40" max="40" width="8.7109375" customWidth="1"/>
    <col min="41" max="41" width="13.5703125" customWidth="1"/>
  </cols>
  <sheetData>
    <row r="5" spans="5:46" ht="15" customHeight="1">
      <c r="E5" s="206"/>
      <c r="F5" s="211" t="s">
        <v>44</v>
      </c>
      <c r="G5" s="212"/>
      <c r="H5" s="212"/>
      <c r="I5" s="212"/>
      <c r="J5" s="212"/>
      <c r="K5" s="212"/>
      <c r="L5" s="212"/>
      <c r="M5" s="212"/>
      <c r="N5" s="20"/>
      <c r="O5" s="20"/>
      <c r="P5" s="21"/>
      <c r="U5" s="206"/>
      <c r="V5" s="211" t="s">
        <v>44</v>
      </c>
      <c r="W5" s="212"/>
      <c r="X5" s="212"/>
      <c r="Y5" s="212"/>
      <c r="Z5" s="212"/>
      <c r="AA5" s="212"/>
      <c r="AB5" s="212"/>
      <c r="AC5" s="212"/>
      <c r="AD5" s="20"/>
      <c r="AE5" s="20"/>
      <c r="AF5" s="21"/>
      <c r="AI5" s="206"/>
      <c r="AJ5" s="211" t="s">
        <v>44</v>
      </c>
      <c r="AK5" s="212"/>
      <c r="AL5" s="212"/>
      <c r="AM5" s="212"/>
      <c r="AN5" s="212"/>
      <c r="AO5" s="212"/>
      <c r="AP5" s="212"/>
      <c r="AQ5" s="212"/>
      <c r="AR5" s="20"/>
      <c r="AS5" s="20"/>
      <c r="AT5" s="21"/>
    </row>
    <row r="6" spans="5:46" ht="15" customHeight="1">
      <c r="E6" s="207"/>
      <c r="F6" s="214"/>
      <c r="G6" s="215"/>
      <c r="H6" s="215"/>
      <c r="I6" s="215"/>
      <c r="J6" s="215"/>
      <c r="K6" s="215"/>
      <c r="L6" s="215"/>
      <c r="M6" s="215"/>
      <c r="P6" s="22"/>
      <c r="U6" s="207"/>
      <c r="V6" s="214"/>
      <c r="W6" s="215"/>
      <c r="X6" s="215"/>
      <c r="Y6" s="215"/>
      <c r="Z6" s="215"/>
      <c r="AA6" s="215"/>
      <c r="AB6" s="215"/>
      <c r="AC6" s="215"/>
      <c r="AF6" s="22"/>
      <c r="AI6" s="207"/>
      <c r="AJ6" s="214"/>
      <c r="AK6" s="215"/>
      <c r="AL6" s="215"/>
      <c r="AM6" s="215"/>
      <c r="AN6" s="215"/>
      <c r="AO6" s="215"/>
      <c r="AP6" s="215"/>
      <c r="AQ6" s="215"/>
      <c r="AT6" s="22"/>
    </row>
    <row r="7" spans="5:46" ht="15" customHeight="1">
      <c r="E7" s="207"/>
      <c r="F7" s="214"/>
      <c r="G7" s="215"/>
      <c r="H7" s="215"/>
      <c r="I7" s="215"/>
      <c r="J7" s="215"/>
      <c r="K7" s="215"/>
      <c r="L7" s="215"/>
      <c r="M7" s="215"/>
      <c r="P7" s="22"/>
      <c r="U7" s="207"/>
      <c r="V7" s="214"/>
      <c r="W7" s="215"/>
      <c r="X7" s="215"/>
      <c r="Y7" s="215"/>
      <c r="Z7" s="215"/>
      <c r="AA7" s="215"/>
      <c r="AB7" s="215"/>
      <c r="AC7" s="215"/>
      <c r="AF7" s="22"/>
      <c r="AI7" s="207"/>
      <c r="AJ7" s="214"/>
      <c r="AK7" s="215"/>
      <c r="AL7" s="215"/>
      <c r="AM7" s="215"/>
      <c r="AN7" s="215"/>
      <c r="AO7" s="215"/>
      <c r="AP7" s="215"/>
      <c r="AQ7" s="215"/>
      <c r="AT7" s="22"/>
    </row>
    <row r="8" spans="5:46" ht="15" customHeight="1">
      <c r="E8" s="207"/>
      <c r="F8" s="289"/>
      <c r="G8" s="290"/>
      <c r="H8" s="290"/>
      <c r="I8" s="290"/>
      <c r="J8" s="290"/>
      <c r="K8" s="290"/>
      <c r="L8" s="290"/>
      <c r="M8" s="290"/>
      <c r="P8" s="22"/>
      <c r="U8" s="207"/>
      <c r="V8" s="289"/>
      <c r="W8" s="290"/>
      <c r="X8" s="290"/>
      <c r="Y8" s="290"/>
      <c r="Z8" s="290"/>
      <c r="AA8" s="290"/>
      <c r="AB8" s="290"/>
      <c r="AC8" s="290"/>
      <c r="AF8" s="22"/>
      <c r="AI8" s="207"/>
      <c r="AJ8" s="289"/>
      <c r="AK8" s="290"/>
      <c r="AL8" s="290"/>
      <c r="AM8" s="290"/>
      <c r="AN8" s="290"/>
      <c r="AO8" s="290"/>
      <c r="AP8" s="290"/>
      <c r="AQ8" s="290"/>
      <c r="AT8" s="22"/>
    </row>
    <row r="9" spans="5:46" ht="16.5">
      <c r="E9" s="223" t="s">
        <v>45</v>
      </c>
      <c r="F9" s="224"/>
      <c r="G9" s="7" t="s">
        <v>46</v>
      </c>
      <c r="H9" s="8"/>
      <c r="I9" s="8"/>
      <c r="J9" s="8"/>
      <c r="K9" s="8"/>
      <c r="L9" s="8"/>
      <c r="M9" s="8"/>
      <c r="N9" s="8"/>
      <c r="O9" s="8"/>
      <c r="P9" s="23"/>
      <c r="U9" s="223" t="s">
        <v>45</v>
      </c>
      <c r="V9" s="224"/>
      <c r="W9" s="7" t="s">
        <v>46</v>
      </c>
      <c r="X9" s="8"/>
      <c r="Y9" s="8"/>
      <c r="Z9" s="8"/>
      <c r="AA9" s="8"/>
      <c r="AB9" s="8"/>
      <c r="AC9" s="8"/>
      <c r="AD9" s="8"/>
      <c r="AE9" s="8"/>
      <c r="AF9" s="23"/>
      <c r="AI9" s="223" t="s">
        <v>45</v>
      </c>
      <c r="AJ9" s="224"/>
      <c r="AK9" s="7" t="s">
        <v>46</v>
      </c>
      <c r="AL9" s="8"/>
      <c r="AM9" s="8"/>
      <c r="AN9" s="8"/>
      <c r="AO9" s="8"/>
      <c r="AP9" s="8"/>
      <c r="AQ9" s="8"/>
      <c r="AR9" s="8"/>
      <c r="AS9" s="8"/>
      <c r="AT9" s="23"/>
    </row>
    <row r="10" spans="5:46" ht="16.5">
      <c r="E10" s="223" t="s">
        <v>48</v>
      </c>
      <c r="F10" s="224"/>
      <c r="G10" s="7" t="s">
        <v>49</v>
      </c>
      <c r="H10" s="8"/>
      <c r="I10" s="8"/>
      <c r="J10" s="8"/>
      <c r="K10" s="8"/>
      <c r="L10" s="8"/>
      <c r="M10" s="8"/>
      <c r="N10" s="8"/>
      <c r="O10" s="8"/>
      <c r="P10" s="23"/>
      <c r="U10" s="223" t="s">
        <v>48</v>
      </c>
      <c r="V10" s="224"/>
      <c r="W10" s="7" t="s">
        <v>49</v>
      </c>
      <c r="X10" s="8"/>
      <c r="Y10" s="8"/>
      <c r="Z10" s="8"/>
      <c r="AA10" s="8"/>
      <c r="AB10" s="8"/>
      <c r="AC10" s="8"/>
      <c r="AD10" s="8"/>
      <c r="AE10" s="8"/>
      <c r="AF10" s="23"/>
      <c r="AI10" s="223" t="s">
        <v>48</v>
      </c>
      <c r="AJ10" s="224"/>
      <c r="AK10" s="7" t="s">
        <v>49</v>
      </c>
      <c r="AL10" s="8"/>
      <c r="AM10" s="8"/>
      <c r="AN10" s="8"/>
      <c r="AO10" s="8"/>
      <c r="AP10" s="8"/>
      <c r="AQ10" s="8"/>
      <c r="AR10" s="8"/>
      <c r="AS10" s="8"/>
      <c r="AT10" s="23"/>
    </row>
    <row r="11" spans="5:46" ht="16.5">
      <c r="E11" s="225" t="s">
        <v>50</v>
      </c>
      <c r="F11" s="226"/>
      <c r="G11" s="7" t="s">
        <v>51</v>
      </c>
      <c r="H11" s="8"/>
      <c r="I11" s="8"/>
      <c r="J11" s="8"/>
      <c r="K11" s="8"/>
      <c r="L11" s="8"/>
      <c r="M11" s="8"/>
      <c r="N11" s="8"/>
      <c r="O11" s="8"/>
      <c r="P11" s="23"/>
      <c r="U11" s="225" t="s">
        <v>50</v>
      </c>
      <c r="V11" s="226"/>
      <c r="W11" s="7" t="s">
        <v>51</v>
      </c>
      <c r="X11" s="8"/>
      <c r="Y11" s="8"/>
      <c r="Z11" s="8"/>
      <c r="AA11" s="8"/>
      <c r="AB11" s="8"/>
      <c r="AC11" s="8"/>
      <c r="AD11" s="8"/>
      <c r="AE11" s="8"/>
      <c r="AF11" s="23"/>
      <c r="AI11" s="225" t="s">
        <v>50</v>
      </c>
      <c r="AJ11" s="226"/>
      <c r="AK11" s="7" t="s">
        <v>51</v>
      </c>
      <c r="AL11" s="8"/>
      <c r="AM11" s="8"/>
      <c r="AN11" s="8"/>
      <c r="AO11" s="8"/>
      <c r="AP11" s="8"/>
      <c r="AQ11" s="8"/>
      <c r="AR11" s="8"/>
      <c r="AS11" s="8"/>
      <c r="AT11" s="23"/>
    </row>
    <row r="12" spans="5:46" ht="16.5" customHeight="1">
      <c r="E12" s="223" t="s">
        <v>52</v>
      </c>
      <c r="F12" s="224"/>
      <c r="G12" s="7" t="s">
        <v>53</v>
      </c>
      <c r="H12" s="8"/>
      <c r="I12" s="8"/>
      <c r="J12" s="8"/>
      <c r="K12" s="8"/>
      <c r="L12" s="8"/>
      <c r="M12" s="8"/>
      <c r="N12" s="8"/>
      <c r="O12" s="8"/>
      <c r="P12" s="23"/>
      <c r="U12" s="223" t="s">
        <v>52</v>
      </c>
      <c r="V12" s="224"/>
      <c r="W12" s="7" t="s">
        <v>53</v>
      </c>
      <c r="X12" s="8"/>
      <c r="Y12" s="8"/>
      <c r="Z12" s="8"/>
      <c r="AA12" s="8"/>
      <c r="AB12" s="8"/>
      <c r="AC12" s="8"/>
      <c r="AD12" s="8"/>
      <c r="AE12" s="8"/>
      <c r="AF12" s="23"/>
      <c r="AI12" s="223" t="s">
        <v>52</v>
      </c>
      <c r="AJ12" s="224"/>
      <c r="AK12" s="7" t="s">
        <v>53</v>
      </c>
      <c r="AL12" s="8"/>
      <c r="AM12" s="8"/>
      <c r="AN12" s="8"/>
      <c r="AO12" s="8"/>
      <c r="AP12" s="8"/>
      <c r="AQ12" s="8"/>
      <c r="AR12" s="8"/>
      <c r="AS12" s="8"/>
      <c r="AT12" s="23"/>
    </row>
    <row r="13" spans="5:46" ht="15.75">
      <c r="E13" s="227" t="s">
        <v>998</v>
      </c>
      <c r="F13" s="228"/>
      <c r="G13" s="228"/>
      <c r="H13" s="228"/>
      <c r="I13" s="228"/>
      <c r="J13" s="228"/>
      <c r="K13" s="228"/>
      <c r="L13" s="228"/>
      <c r="M13" s="228"/>
      <c r="N13" s="228"/>
      <c r="O13" s="228"/>
      <c r="P13" s="229"/>
      <c r="U13" s="227" t="s">
        <v>998</v>
      </c>
      <c r="V13" s="228"/>
      <c r="W13" s="228"/>
      <c r="X13" s="228"/>
      <c r="Y13" s="228"/>
      <c r="Z13" s="228"/>
      <c r="AA13" s="228"/>
      <c r="AB13" s="228"/>
      <c r="AC13" s="228"/>
      <c r="AD13" s="228"/>
      <c r="AE13" s="228"/>
      <c r="AF13" s="229"/>
      <c r="AI13" s="227" t="s">
        <v>998</v>
      </c>
      <c r="AJ13" s="228"/>
      <c r="AK13" s="228"/>
      <c r="AL13" s="228"/>
      <c r="AM13" s="228"/>
      <c r="AN13" s="228"/>
      <c r="AO13" s="228"/>
      <c r="AP13" s="228"/>
      <c r="AQ13" s="228"/>
      <c r="AR13" s="228"/>
      <c r="AS13" s="228"/>
      <c r="AT13" s="229"/>
    </row>
    <row r="14" spans="5:46" ht="15.75" customHeight="1">
      <c r="E14" s="11" t="s">
        <v>55</v>
      </c>
      <c r="G14" s="12"/>
      <c r="H14" s="12"/>
      <c r="I14" s="12"/>
      <c r="J14" s="12"/>
      <c r="K14" s="24" t="s">
        <v>56</v>
      </c>
      <c r="L14" s="25"/>
      <c r="M14" s="12"/>
      <c r="N14" s="12"/>
      <c r="O14" s="12"/>
      <c r="P14" s="26"/>
      <c r="U14" s="11" t="s">
        <v>55</v>
      </c>
      <c r="W14" s="12"/>
      <c r="X14" s="12"/>
      <c r="Y14" s="12"/>
      <c r="Z14" s="12"/>
      <c r="AA14" s="24" t="s">
        <v>56</v>
      </c>
      <c r="AB14" s="25"/>
      <c r="AC14" s="12"/>
      <c r="AD14" s="12"/>
      <c r="AE14" s="12"/>
      <c r="AF14" s="26"/>
      <c r="AI14" s="11" t="s">
        <v>55</v>
      </c>
      <c r="AK14" s="12"/>
      <c r="AL14" s="12"/>
      <c r="AM14" s="12"/>
      <c r="AN14" s="12"/>
      <c r="AO14" s="24" t="s">
        <v>56</v>
      </c>
      <c r="AP14" s="25"/>
      <c r="AQ14" s="12"/>
      <c r="AR14" s="12"/>
      <c r="AS14" s="12"/>
      <c r="AT14" s="26"/>
    </row>
    <row r="15" spans="5:46" ht="15" customHeight="1">
      <c r="E15" s="217"/>
      <c r="F15" s="218"/>
      <c r="G15" s="218"/>
      <c r="H15" s="218"/>
      <c r="I15" s="218"/>
      <c r="J15" s="218"/>
      <c r="K15" s="218"/>
      <c r="L15" s="218"/>
      <c r="M15" s="218"/>
      <c r="N15" s="218"/>
      <c r="O15" s="218"/>
      <c r="P15" s="219"/>
      <c r="U15" s="217"/>
      <c r="V15" s="218"/>
      <c r="W15" s="218"/>
      <c r="X15" s="218"/>
      <c r="Y15" s="218"/>
      <c r="Z15" s="218"/>
      <c r="AA15" s="218"/>
      <c r="AB15" s="218"/>
      <c r="AC15" s="218"/>
      <c r="AD15" s="218"/>
      <c r="AE15" s="218"/>
      <c r="AF15" s="219"/>
      <c r="AI15" s="217"/>
      <c r="AJ15" s="218"/>
      <c r="AK15" s="218"/>
      <c r="AL15" s="218"/>
      <c r="AM15" s="218"/>
      <c r="AN15" s="218"/>
      <c r="AO15" s="218"/>
      <c r="AP15" s="218"/>
      <c r="AQ15" s="218"/>
      <c r="AR15" s="218"/>
      <c r="AS15" s="218"/>
      <c r="AT15" s="219"/>
    </row>
    <row r="16" spans="5:46" ht="15.75" customHeight="1">
      <c r="E16" s="15" t="s">
        <v>103</v>
      </c>
      <c r="F16" s="355"/>
      <c r="G16" s="356"/>
      <c r="H16" s="356"/>
      <c r="I16" s="356"/>
      <c r="J16" s="357"/>
      <c r="K16" s="368" t="s">
        <v>542</v>
      </c>
      <c r="L16" s="369"/>
      <c r="M16" s="369"/>
      <c r="N16" s="369"/>
      <c r="O16" s="369"/>
      <c r="P16" s="370"/>
      <c r="U16" s="15" t="s">
        <v>103</v>
      </c>
      <c r="V16" s="355"/>
      <c r="W16" s="356"/>
      <c r="X16" s="356"/>
      <c r="Y16" s="356"/>
      <c r="Z16" s="357"/>
      <c r="AA16" s="368" t="s">
        <v>542</v>
      </c>
      <c r="AB16" s="369"/>
      <c r="AC16" s="369"/>
      <c r="AD16" s="369"/>
      <c r="AE16" s="369"/>
      <c r="AF16" s="370"/>
      <c r="AI16" s="15" t="s">
        <v>103</v>
      </c>
      <c r="AJ16" s="355"/>
      <c r="AK16" s="356"/>
      <c r="AL16" s="356"/>
      <c r="AM16" s="356"/>
      <c r="AN16" s="357"/>
      <c r="AO16" s="368" t="s">
        <v>542</v>
      </c>
      <c r="AP16" s="369"/>
      <c r="AQ16" s="369"/>
      <c r="AR16" s="369"/>
      <c r="AS16" s="369"/>
      <c r="AT16" s="370"/>
    </row>
    <row r="17" spans="5:46" ht="15" customHeight="1">
      <c r="E17" s="329" t="s">
        <v>59</v>
      </c>
      <c r="F17" s="209" t="s">
        <v>60</v>
      </c>
      <c r="G17" s="209" t="s">
        <v>659</v>
      </c>
      <c r="H17" s="209" t="s">
        <v>62</v>
      </c>
      <c r="I17" s="209" t="s">
        <v>63</v>
      </c>
      <c r="J17" s="209" t="s">
        <v>64</v>
      </c>
      <c r="K17" s="209" t="s">
        <v>65</v>
      </c>
      <c r="L17" s="342" t="s">
        <v>66</v>
      </c>
      <c r="M17" s="343"/>
      <c r="N17" s="344"/>
      <c r="O17" s="209" t="s">
        <v>30</v>
      </c>
      <c r="P17" s="328" t="s">
        <v>67</v>
      </c>
      <c r="U17" s="329" t="s">
        <v>59</v>
      </c>
      <c r="V17" s="209" t="s">
        <v>60</v>
      </c>
      <c r="W17" s="209" t="s">
        <v>659</v>
      </c>
      <c r="X17" s="209" t="s">
        <v>62</v>
      </c>
      <c r="Y17" s="209" t="s">
        <v>63</v>
      </c>
      <c r="Z17" s="209" t="s">
        <v>64</v>
      </c>
      <c r="AA17" s="209" t="s">
        <v>65</v>
      </c>
      <c r="AB17" s="342" t="s">
        <v>66</v>
      </c>
      <c r="AC17" s="343"/>
      <c r="AD17" s="344"/>
      <c r="AE17" s="209" t="s">
        <v>30</v>
      </c>
      <c r="AF17" s="328" t="s">
        <v>67</v>
      </c>
      <c r="AI17" s="329" t="s">
        <v>59</v>
      </c>
      <c r="AJ17" s="209" t="s">
        <v>60</v>
      </c>
      <c r="AK17" s="209" t="s">
        <v>659</v>
      </c>
      <c r="AL17" s="209" t="s">
        <v>62</v>
      </c>
      <c r="AM17" s="209" t="s">
        <v>63</v>
      </c>
      <c r="AN17" s="209" t="s">
        <v>64</v>
      </c>
      <c r="AO17" s="209" t="s">
        <v>65</v>
      </c>
      <c r="AP17" s="342" t="s">
        <v>66</v>
      </c>
      <c r="AQ17" s="343"/>
      <c r="AR17" s="344"/>
      <c r="AS17" s="209" t="s">
        <v>30</v>
      </c>
      <c r="AT17" s="328" t="s">
        <v>67</v>
      </c>
    </row>
    <row r="18" spans="5:46" ht="60">
      <c r="E18" s="359"/>
      <c r="F18" s="292"/>
      <c r="G18" s="292"/>
      <c r="H18" s="292"/>
      <c r="I18" s="292"/>
      <c r="J18" s="292"/>
      <c r="K18" s="292"/>
      <c r="L18" s="17" t="s">
        <v>68</v>
      </c>
      <c r="M18" s="28" t="s">
        <v>999</v>
      </c>
      <c r="N18" s="17" t="s">
        <v>70</v>
      </c>
      <c r="O18" s="292"/>
      <c r="P18" s="360"/>
      <c r="U18" s="359"/>
      <c r="V18" s="292"/>
      <c r="W18" s="292"/>
      <c r="X18" s="292"/>
      <c r="Y18" s="292"/>
      <c r="Z18" s="292"/>
      <c r="AA18" s="292"/>
      <c r="AB18" s="17" t="s">
        <v>68</v>
      </c>
      <c r="AC18" s="28" t="s">
        <v>999</v>
      </c>
      <c r="AD18" s="17" t="s">
        <v>70</v>
      </c>
      <c r="AE18" s="292"/>
      <c r="AF18" s="360"/>
      <c r="AI18" s="359"/>
      <c r="AJ18" s="292"/>
      <c r="AK18" s="292"/>
      <c r="AL18" s="292"/>
      <c r="AM18" s="292"/>
      <c r="AN18" s="292"/>
      <c r="AO18" s="292"/>
      <c r="AP18" s="17" t="s">
        <v>68</v>
      </c>
      <c r="AQ18" s="28" t="s">
        <v>999</v>
      </c>
      <c r="AR18" s="17" t="s">
        <v>70</v>
      </c>
      <c r="AS18" s="292"/>
      <c r="AT18" s="360"/>
    </row>
    <row r="19" spans="5:46">
      <c r="E19" s="29">
        <v>1</v>
      </c>
      <c r="F19" s="29" t="s">
        <v>71</v>
      </c>
      <c r="G19" s="29">
        <v>160</v>
      </c>
      <c r="H19" s="29" t="s">
        <v>242</v>
      </c>
      <c r="I19" s="29" t="s">
        <v>231</v>
      </c>
      <c r="J19" s="55">
        <v>486</v>
      </c>
      <c r="K19" s="29" t="s">
        <v>276</v>
      </c>
      <c r="L19" s="29">
        <v>3</v>
      </c>
      <c r="M19" s="29">
        <v>3.2</v>
      </c>
      <c r="N19" s="29">
        <v>6.2</v>
      </c>
      <c r="O19" s="29"/>
      <c r="P19" s="29"/>
      <c r="U19" s="29">
        <v>1</v>
      </c>
      <c r="V19" s="29" t="s">
        <v>71</v>
      </c>
      <c r="W19" s="29">
        <v>63</v>
      </c>
      <c r="X19" s="29" t="s">
        <v>808</v>
      </c>
      <c r="Y19" s="29" t="s">
        <v>734</v>
      </c>
      <c r="Z19" s="55">
        <v>113.7</v>
      </c>
      <c r="AA19" s="29" t="s">
        <v>276</v>
      </c>
      <c r="AB19" s="29">
        <v>3</v>
      </c>
      <c r="AC19" s="29">
        <v>3.2</v>
      </c>
      <c r="AD19" s="29">
        <v>6.2</v>
      </c>
      <c r="AE19" s="29"/>
      <c r="AF19" s="29"/>
      <c r="AI19" s="29">
        <v>1</v>
      </c>
      <c r="AJ19" s="29" t="s">
        <v>71</v>
      </c>
      <c r="AK19" s="29">
        <v>90</v>
      </c>
      <c r="AL19" s="29" t="s">
        <v>445</v>
      </c>
      <c r="AM19" s="29" t="s">
        <v>234</v>
      </c>
      <c r="AN19" s="55">
        <v>118.4</v>
      </c>
      <c r="AO19" s="29" t="s">
        <v>276</v>
      </c>
      <c r="AP19" s="29">
        <v>3</v>
      </c>
      <c r="AQ19" s="29">
        <v>3.2</v>
      </c>
      <c r="AR19" s="29">
        <v>6.2</v>
      </c>
      <c r="AS19" s="29"/>
      <c r="AT19" s="29"/>
    </row>
    <row r="20" spans="5:46">
      <c r="E20" s="29">
        <f>1+E19</f>
        <v>2</v>
      </c>
      <c r="F20" s="29" t="s">
        <v>71</v>
      </c>
      <c r="G20" s="29">
        <v>160</v>
      </c>
      <c r="H20" s="29" t="s">
        <v>231</v>
      </c>
      <c r="I20" s="29" t="s">
        <v>224</v>
      </c>
      <c r="J20" s="55">
        <v>7.3</v>
      </c>
      <c r="K20" s="29" t="s">
        <v>276</v>
      </c>
      <c r="L20" s="29">
        <v>3</v>
      </c>
      <c r="M20" s="29">
        <v>3.2</v>
      </c>
      <c r="N20" s="29">
        <v>6.2</v>
      </c>
      <c r="O20" s="29"/>
      <c r="P20" s="29"/>
      <c r="U20" s="29">
        <f>1+U19</f>
        <v>2</v>
      </c>
      <c r="V20" s="29" t="s">
        <v>71</v>
      </c>
      <c r="W20" s="29">
        <v>63</v>
      </c>
      <c r="X20" s="29" t="s">
        <v>734</v>
      </c>
      <c r="Y20" s="29" t="s">
        <v>758</v>
      </c>
      <c r="Z20" s="55">
        <v>43.3</v>
      </c>
      <c r="AA20" s="29" t="s">
        <v>276</v>
      </c>
      <c r="AB20" s="29">
        <v>3</v>
      </c>
      <c r="AC20" s="29">
        <v>3.2</v>
      </c>
      <c r="AD20" s="29">
        <v>6.2</v>
      </c>
      <c r="AE20" s="29"/>
      <c r="AF20" s="29"/>
      <c r="AI20" s="29">
        <f>1+AI19</f>
        <v>2</v>
      </c>
      <c r="AJ20" s="29" t="s">
        <v>71</v>
      </c>
      <c r="AK20" s="29">
        <v>90</v>
      </c>
      <c r="AL20" s="29" t="s">
        <v>445</v>
      </c>
      <c r="AM20" s="29" t="s">
        <v>242</v>
      </c>
      <c r="AN20" s="55">
        <v>113.2</v>
      </c>
      <c r="AO20" s="29" t="s">
        <v>276</v>
      </c>
      <c r="AP20" s="29">
        <v>3</v>
      </c>
      <c r="AQ20" s="29">
        <v>3.2</v>
      </c>
      <c r="AR20" s="29">
        <v>6.2</v>
      </c>
      <c r="AS20" s="29"/>
      <c r="AT20" s="29"/>
    </row>
    <row r="21" spans="5:46" ht="16.5" customHeight="1">
      <c r="E21" s="29">
        <f t="shared" ref="E21:E32" si="0">1+E20</f>
        <v>3</v>
      </c>
      <c r="F21" s="29" t="s">
        <v>71</v>
      </c>
      <c r="G21" s="29">
        <v>160</v>
      </c>
      <c r="H21" s="29" t="s">
        <v>231</v>
      </c>
      <c r="I21" s="29" t="s">
        <v>224</v>
      </c>
      <c r="J21" s="55">
        <v>129.30000000000001</v>
      </c>
      <c r="K21" s="29" t="s">
        <v>276</v>
      </c>
      <c r="L21" s="29">
        <v>3</v>
      </c>
      <c r="M21" s="29">
        <v>3.2</v>
      </c>
      <c r="N21" s="29">
        <v>6.2</v>
      </c>
      <c r="O21" s="29"/>
      <c r="P21" s="29"/>
      <c r="U21" s="29">
        <f t="shared" ref="U21:U57" si="1">1+U20</f>
        <v>3</v>
      </c>
      <c r="V21" s="29" t="s">
        <v>71</v>
      </c>
      <c r="W21" s="29">
        <v>63</v>
      </c>
      <c r="X21" s="29" t="s">
        <v>734</v>
      </c>
      <c r="Y21" s="29" t="s">
        <v>751</v>
      </c>
      <c r="Z21" s="55">
        <v>6.9</v>
      </c>
      <c r="AA21" s="29" t="s">
        <v>276</v>
      </c>
      <c r="AB21" s="29">
        <v>3</v>
      </c>
      <c r="AC21" s="29">
        <v>3.2</v>
      </c>
      <c r="AD21" s="29">
        <v>6.2</v>
      </c>
      <c r="AE21" s="29"/>
      <c r="AF21" s="29"/>
      <c r="AI21" s="29">
        <f t="shared" ref="AI21:AI46" si="2">1+AI20</f>
        <v>3</v>
      </c>
      <c r="AJ21" s="29" t="s">
        <v>71</v>
      </c>
      <c r="AK21" s="29">
        <v>90</v>
      </c>
      <c r="AL21" s="29" t="s">
        <v>798</v>
      </c>
      <c r="AM21" s="29" t="s">
        <v>1000</v>
      </c>
      <c r="AN21" s="55">
        <v>37.6</v>
      </c>
      <c r="AO21" s="29" t="s">
        <v>276</v>
      </c>
      <c r="AP21" s="29">
        <v>3</v>
      </c>
      <c r="AQ21" s="29">
        <v>3.2</v>
      </c>
      <c r="AR21" s="29">
        <v>6.2</v>
      </c>
      <c r="AS21" s="29"/>
      <c r="AT21" s="29"/>
    </row>
    <row r="22" spans="5:46">
      <c r="E22" s="29">
        <f t="shared" si="0"/>
        <v>4</v>
      </c>
      <c r="F22" s="29" t="s">
        <v>71</v>
      </c>
      <c r="G22" s="29">
        <v>160</v>
      </c>
      <c r="H22" s="29" t="s">
        <v>224</v>
      </c>
      <c r="I22" s="29" t="s">
        <v>386</v>
      </c>
      <c r="J22" s="55">
        <v>5.4</v>
      </c>
      <c r="K22" s="29" t="s">
        <v>276</v>
      </c>
      <c r="L22" s="29">
        <v>3</v>
      </c>
      <c r="M22" s="29">
        <v>3.2</v>
      </c>
      <c r="N22" s="29">
        <v>6.2</v>
      </c>
      <c r="O22" s="29"/>
      <c r="P22" s="29"/>
      <c r="U22" s="29">
        <f t="shared" si="1"/>
        <v>4</v>
      </c>
      <c r="V22" s="29" t="s">
        <v>71</v>
      </c>
      <c r="W22" s="29">
        <v>63</v>
      </c>
      <c r="X22" s="29" t="s">
        <v>751</v>
      </c>
      <c r="Y22" s="29" t="s">
        <v>771</v>
      </c>
      <c r="Z22" s="55">
        <v>53.2</v>
      </c>
      <c r="AA22" s="29" t="s">
        <v>276</v>
      </c>
      <c r="AB22" s="29">
        <v>3</v>
      </c>
      <c r="AC22" s="29">
        <v>3.2</v>
      </c>
      <c r="AD22" s="29">
        <v>6.2</v>
      </c>
      <c r="AE22" s="29"/>
      <c r="AF22" s="29"/>
      <c r="AI22" s="29">
        <f t="shared" si="2"/>
        <v>4</v>
      </c>
      <c r="AJ22" s="29" t="s">
        <v>71</v>
      </c>
      <c r="AK22" s="29">
        <v>90</v>
      </c>
      <c r="AL22" s="29" t="s">
        <v>798</v>
      </c>
      <c r="AM22" s="29" t="s">
        <v>228</v>
      </c>
      <c r="AN22" s="55">
        <v>43.4</v>
      </c>
      <c r="AO22" s="29" t="s">
        <v>276</v>
      </c>
      <c r="AP22" s="29">
        <v>3</v>
      </c>
      <c r="AQ22" s="29">
        <v>3.2</v>
      </c>
      <c r="AR22" s="29">
        <v>6.2</v>
      </c>
      <c r="AS22" s="29"/>
      <c r="AT22" s="29"/>
    </row>
    <row r="23" spans="5:46">
      <c r="E23" s="29">
        <f t="shared" si="0"/>
        <v>5</v>
      </c>
      <c r="F23" s="29" t="s">
        <v>71</v>
      </c>
      <c r="G23" s="29">
        <v>160</v>
      </c>
      <c r="H23" s="29" t="s">
        <v>224</v>
      </c>
      <c r="I23" s="29" t="s">
        <v>386</v>
      </c>
      <c r="J23" s="55">
        <v>438.2</v>
      </c>
      <c r="K23" s="29" t="s">
        <v>276</v>
      </c>
      <c r="L23" s="29">
        <v>3</v>
      </c>
      <c r="M23" s="29">
        <v>3.2</v>
      </c>
      <c r="N23" s="29">
        <v>6.2</v>
      </c>
      <c r="O23" s="29"/>
      <c r="P23" s="29"/>
      <c r="U23" s="29">
        <f t="shared" si="1"/>
        <v>5</v>
      </c>
      <c r="V23" s="29" t="s">
        <v>71</v>
      </c>
      <c r="W23" s="29">
        <v>63</v>
      </c>
      <c r="X23" s="29" t="s">
        <v>751</v>
      </c>
      <c r="Y23" s="29" t="s">
        <v>1001</v>
      </c>
      <c r="Z23" s="55">
        <v>24.1</v>
      </c>
      <c r="AA23" s="29" t="s">
        <v>276</v>
      </c>
      <c r="AB23" s="29">
        <v>3</v>
      </c>
      <c r="AC23" s="29">
        <v>3.2</v>
      </c>
      <c r="AD23" s="29">
        <v>6.2</v>
      </c>
      <c r="AE23" s="29"/>
      <c r="AF23" s="29"/>
      <c r="AI23" s="29">
        <f t="shared" si="2"/>
        <v>5</v>
      </c>
      <c r="AJ23" s="29" t="s">
        <v>71</v>
      </c>
      <c r="AK23" s="29">
        <v>75</v>
      </c>
      <c r="AL23" s="29" t="s">
        <v>234</v>
      </c>
      <c r="AM23" s="29" t="s">
        <v>127</v>
      </c>
      <c r="AN23" s="55">
        <v>42.5</v>
      </c>
      <c r="AO23" s="29" t="s">
        <v>276</v>
      </c>
      <c r="AP23" s="29">
        <v>3</v>
      </c>
      <c r="AQ23" s="29">
        <v>3.2</v>
      </c>
      <c r="AR23" s="29">
        <v>6.2</v>
      </c>
      <c r="AS23" s="29"/>
      <c r="AT23" s="29"/>
    </row>
    <row r="24" spans="5:46">
      <c r="E24" s="29">
        <f t="shared" si="0"/>
        <v>6</v>
      </c>
      <c r="F24" s="29" t="s">
        <v>71</v>
      </c>
      <c r="G24" s="29">
        <v>140</v>
      </c>
      <c r="H24" s="29" t="s">
        <v>684</v>
      </c>
      <c r="I24" s="29" t="s">
        <v>662</v>
      </c>
      <c r="J24" s="55">
        <v>121.5</v>
      </c>
      <c r="K24" s="29" t="s">
        <v>276</v>
      </c>
      <c r="L24" s="29">
        <v>3</v>
      </c>
      <c r="M24" s="29">
        <v>3.2</v>
      </c>
      <c r="N24" s="29">
        <v>6.2</v>
      </c>
      <c r="O24" s="29"/>
      <c r="P24" s="29"/>
      <c r="U24" s="29">
        <f t="shared" si="1"/>
        <v>6</v>
      </c>
      <c r="V24" s="29" t="s">
        <v>71</v>
      </c>
      <c r="W24" s="29">
        <v>63</v>
      </c>
      <c r="X24" s="29" t="s">
        <v>1001</v>
      </c>
      <c r="Y24" s="29" t="s">
        <v>1002</v>
      </c>
      <c r="Z24" s="55">
        <v>59</v>
      </c>
      <c r="AA24" s="29" t="s">
        <v>276</v>
      </c>
      <c r="AB24" s="29">
        <v>3</v>
      </c>
      <c r="AC24" s="29">
        <v>3.2</v>
      </c>
      <c r="AD24" s="29">
        <v>6.2</v>
      </c>
      <c r="AE24" s="29"/>
      <c r="AF24" s="29"/>
      <c r="AI24" s="29">
        <f t="shared" si="2"/>
        <v>6</v>
      </c>
      <c r="AJ24" s="29" t="s">
        <v>71</v>
      </c>
      <c r="AK24" s="29">
        <v>75</v>
      </c>
      <c r="AL24" s="29" t="s">
        <v>712</v>
      </c>
      <c r="AM24" s="29" t="s">
        <v>1003</v>
      </c>
      <c r="AN24" s="57">
        <v>58.4</v>
      </c>
      <c r="AO24" s="29" t="s">
        <v>276</v>
      </c>
      <c r="AP24" s="29">
        <v>3</v>
      </c>
      <c r="AQ24" s="29">
        <v>3.2</v>
      </c>
      <c r="AR24" s="29">
        <v>6.2</v>
      </c>
      <c r="AS24" s="29"/>
      <c r="AT24" s="29"/>
    </row>
    <row r="25" spans="5:46">
      <c r="E25" s="29">
        <f t="shared" si="0"/>
        <v>7</v>
      </c>
      <c r="F25" s="29" t="s">
        <v>71</v>
      </c>
      <c r="G25" s="29">
        <v>140</v>
      </c>
      <c r="H25" s="29" t="s">
        <v>662</v>
      </c>
      <c r="I25" s="29" t="s">
        <v>663</v>
      </c>
      <c r="J25" s="55">
        <v>43.7</v>
      </c>
      <c r="K25" s="29" t="s">
        <v>276</v>
      </c>
      <c r="L25" s="29">
        <v>3</v>
      </c>
      <c r="M25" s="29">
        <v>3.2</v>
      </c>
      <c r="N25" s="29">
        <v>6.2</v>
      </c>
      <c r="O25" s="29"/>
      <c r="P25" s="29"/>
      <c r="U25" s="29">
        <f t="shared" si="1"/>
        <v>7</v>
      </c>
      <c r="V25" s="29" t="s">
        <v>71</v>
      </c>
      <c r="W25" s="29">
        <v>63</v>
      </c>
      <c r="X25" s="29" t="s">
        <v>1001</v>
      </c>
      <c r="Y25" s="29" t="s">
        <v>712</v>
      </c>
      <c r="Z25" s="55">
        <v>22.8</v>
      </c>
      <c r="AA25" s="29" t="s">
        <v>276</v>
      </c>
      <c r="AB25" s="29">
        <v>3</v>
      </c>
      <c r="AC25" s="29">
        <v>3.2</v>
      </c>
      <c r="AD25" s="29">
        <v>6.2</v>
      </c>
      <c r="AE25" s="29"/>
      <c r="AF25" s="29"/>
      <c r="AI25" s="29">
        <f t="shared" si="2"/>
        <v>7</v>
      </c>
      <c r="AJ25" s="29" t="s">
        <v>71</v>
      </c>
      <c r="AK25" s="29">
        <v>75</v>
      </c>
      <c r="AL25" s="29" t="s">
        <v>1003</v>
      </c>
      <c r="AM25" s="29" t="s">
        <v>798</v>
      </c>
      <c r="AN25" s="57">
        <v>93.5</v>
      </c>
      <c r="AO25" s="29" t="s">
        <v>276</v>
      </c>
      <c r="AP25" s="29">
        <v>3</v>
      </c>
      <c r="AQ25" s="29">
        <v>3.2</v>
      </c>
      <c r="AR25" s="29">
        <v>6.2</v>
      </c>
      <c r="AS25" s="29"/>
      <c r="AT25" s="29"/>
    </row>
    <row r="26" spans="5:46" ht="15" customHeight="1">
      <c r="E26" s="29">
        <f t="shared" si="0"/>
        <v>8</v>
      </c>
      <c r="F26" s="29" t="s">
        <v>71</v>
      </c>
      <c r="G26" s="29">
        <v>140</v>
      </c>
      <c r="H26" s="29" t="s">
        <v>663</v>
      </c>
      <c r="I26" s="29" t="s">
        <v>1004</v>
      </c>
      <c r="J26" s="55">
        <v>132</v>
      </c>
      <c r="K26" s="29" t="s">
        <v>276</v>
      </c>
      <c r="L26" s="29">
        <v>3</v>
      </c>
      <c r="M26" s="29">
        <v>3.2</v>
      </c>
      <c r="N26" s="29">
        <v>6.2</v>
      </c>
      <c r="O26" s="29"/>
      <c r="P26" s="29"/>
      <c r="U26" s="29">
        <f t="shared" si="1"/>
        <v>8</v>
      </c>
      <c r="V26" s="29" t="s">
        <v>71</v>
      </c>
      <c r="W26" s="29">
        <v>63</v>
      </c>
      <c r="X26" s="29" t="s">
        <v>1003</v>
      </c>
      <c r="Y26" s="29" t="s">
        <v>1005</v>
      </c>
      <c r="Z26" s="55">
        <v>33.6</v>
      </c>
      <c r="AA26" s="29" t="s">
        <v>276</v>
      </c>
      <c r="AB26" s="29">
        <v>3</v>
      </c>
      <c r="AC26" s="29">
        <v>3.2</v>
      </c>
      <c r="AD26" s="29">
        <v>6.2</v>
      </c>
      <c r="AE26" s="29"/>
      <c r="AF26" s="29"/>
      <c r="AI26" s="29">
        <f t="shared" si="2"/>
        <v>8</v>
      </c>
      <c r="AJ26" s="29" t="s">
        <v>71</v>
      </c>
      <c r="AK26" s="29">
        <v>75</v>
      </c>
      <c r="AL26" s="29" t="s">
        <v>1006</v>
      </c>
      <c r="AM26" s="29" t="s">
        <v>743</v>
      </c>
      <c r="AN26" s="55">
        <v>23.2</v>
      </c>
      <c r="AO26" s="29" t="s">
        <v>276</v>
      </c>
      <c r="AP26" s="29">
        <v>3</v>
      </c>
      <c r="AQ26" s="29">
        <v>3.2</v>
      </c>
      <c r="AR26" s="29">
        <v>6.2</v>
      </c>
      <c r="AS26" s="29"/>
      <c r="AT26" s="29"/>
    </row>
    <row r="27" spans="5:46">
      <c r="E27" s="29">
        <f t="shared" si="0"/>
        <v>9</v>
      </c>
      <c r="F27" s="29" t="s">
        <v>71</v>
      </c>
      <c r="G27" s="29">
        <v>140</v>
      </c>
      <c r="H27" s="29" t="s">
        <v>386</v>
      </c>
      <c r="I27" s="29" t="s">
        <v>662</v>
      </c>
      <c r="J27" s="55">
        <v>1374.1</v>
      </c>
      <c r="K27" s="29" t="s">
        <v>276</v>
      </c>
      <c r="L27" s="29">
        <v>3</v>
      </c>
      <c r="M27" s="29">
        <v>3.2</v>
      </c>
      <c r="N27" s="29">
        <v>6.2</v>
      </c>
      <c r="O27" s="29"/>
      <c r="P27" s="29"/>
      <c r="U27" s="29">
        <f t="shared" si="1"/>
        <v>9</v>
      </c>
      <c r="V27" s="29" t="s">
        <v>71</v>
      </c>
      <c r="W27" s="29">
        <v>63</v>
      </c>
      <c r="X27" s="29" t="s">
        <v>798</v>
      </c>
      <c r="Y27" s="29" t="s">
        <v>158</v>
      </c>
      <c r="Z27" s="55">
        <v>52.5</v>
      </c>
      <c r="AA27" s="29" t="s">
        <v>276</v>
      </c>
      <c r="AB27" s="29">
        <v>3</v>
      </c>
      <c r="AC27" s="29">
        <v>3.2</v>
      </c>
      <c r="AD27" s="29">
        <v>6.2</v>
      </c>
      <c r="AE27" s="29"/>
      <c r="AF27" s="29"/>
      <c r="AI27" s="29">
        <f t="shared" si="2"/>
        <v>9</v>
      </c>
      <c r="AJ27" s="29" t="s">
        <v>71</v>
      </c>
      <c r="AK27" s="29">
        <v>75</v>
      </c>
      <c r="AL27" s="29" t="s">
        <v>712</v>
      </c>
      <c r="AM27" s="29" t="s">
        <v>798</v>
      </c>
      <c r="AN27" s="55">
        <v>3.4</v>
      </c>
      <c r="AO27" s="29" t="s">
        <v>276</v>
      </c>
      <c r="AP27" s="29">
        <v>3</v>
      </c>
      <c r="AQ27" s="29">
        <v>3.2</v>
      </c>
      <c r="AR27" s="29">
        <v>6.2</v>
      </c>
      <c r="AS27" s="29"/>
      <c r="AT27" s="29"/>
    </row>
    <row r="28" spans="5:46">
      <c r="E28" s="29">
        <f t="shared" si="0"/>
        <v>10</v>
      </c>
      <c r="F28" s="29" t="s">
        <v>71</v>
      </c>
      <c r="G28" s="29">
        <v>140</v>
      </c>
      <c r="H28" s="29" t="s">
        <v>386</v>
      </c>
      <c r="I28" s="29" t="s">
        <v>662</v>
      </c>
      <c r="J28" s="55">
        <v>4.3</v>
      </c>
      <c r="K28" s="29" t="s">
        <v>276</v>
      </c>
      <c r="L28" s="29">
        <v>3</v>
      </c>
      <c r="M28" s="29">
        <v>3.2</v>
      </c>
      <c r="N28" s="29">
        <v>6.2</v>
      </c>
      <c r="O28" s="29"/>
      <c r="P28" s="29"/>
      <c r="U28" s="29">
        <f t="shared" si="1"/>
        <v>10</v>
      </c>
      <c r="V28" s="29" t="s">
        <v>71</v>
      </c>
      <c r="W28" s="29">
        <v>63</v>
      </c>
      <c r="X28" s="29" t="s">
        <v>798</v>
      </c>
      <c r="Y28" s="29" t="s">
        <v>1006</v>
      </c>
      <c r="Z28" s="57">
        <v>371.5</v>
      </c>
      <c r="AA28" s="29" t="s">
        <v>276</v>
      </c>
      <c r="AB28" s="29">
        <v>3</v>
      </c>
      <c r="AC28" s="29">
        <v>3.2</v>
      </c>
      <c r="AD28" s="29">
        <v>6.2</v>
      </c>
      <c r="AE28" s="29"/>
      <c r="AF28" s="29"/>
      <c r="AI28" s="29">
        <f t="shared" si="2"/>
        <v>10</v>
      </c>
      <c r="AJ28" s="29" t="s">
        <v>71</v>
      </c>
      <c r="AK28" s="29">
        <v>75</v>
      </c>
      <c r="AL28" s="29" t="s">
        <v>234</v>
      </c>
      <c r="AM28" s="29" t="s">
        <v>238</v>
      </c>
      <c r="AN28" s="55">
        <v>68.2</v>
      </c>
      <c r="AO28" s="29" t="s">
        <v>276</v>
      </c>
      <c r="AP28" s="29">
        <v>3</v>
      </c>
      <c r="AQ28" s="29">
        <v>3.2</v>
      </c>
      <c r="AR28" s="29">
        <v>6.2</v>
      </c>
      <c r="AS28" s="29"/>
      <c r="AT28" s="29"/>
    </row>
    <row r="29" spans="5:46">
      <c r="E29" s="29">
        <f t="shared" si="0"/>
        <v>11</v>
      </c>
      <c r="F29" s="29" t="s">
        <v>71</v>
      </c>
      <c r="G29" s="29">
        <v>125</v>
      </c>
      <c r="H29" s="29" t="s">
        <v>1007</v>
      </c>
      <c r="I29" s="29" t="s">
        <v>623</v>
      </c>
      <c r="J29" s="55">
        <v>5.5</v>
      </c>
      <c r="K29" s="29" t="s">
        <v>276</v>
      </c>
      <c r="L29" s="29">
        <v>3</v>
      </c>
      <c r="M29" s="29">
        <v>3.2</v>
      </c>
      <c r="N29" s="29">
        <v>6.2</v>
      </c>
      <c r="O29" s="29"/>
      <c r="P29" s="29"/>
      <c r="U29" s="29">
        <f t="shared" si="1"/>
        <v>11</v>
      </c>
      <c r="V29" s="29" t="s">
        <v>71</v>
      </c>
      <c r="W29" s="29">
        <v>63</v>
      </c>
      <c r="X29" s="29" t="s">
        <v>798</v>
      </c>
      <c r="Y29" s="29" t="s">
        <v>1006</v>
      </c>
      <c r="Z29" s="55">
        <v>3.6</v>
      </c>
      <c r="AA29" s="29" t="s">
        <v>276</v>
      </c>
      <c r="AB29" s="29">
        <v>3</v>
      </c>
      <c r="AC29" s="29">
        <v>3.2</v>
      </c>
      <c r="AD29" s="29">
        <v>6.2</v>
      </c>
      <c r="AE29" s="29"/>
      <c r="AF29" s="29"/>
      <c r="AI29" s="29">
        <f t="shared" si="2"/>
        <v>11</v>
      </c>
      <c r="AJ29" s="29" t="s">
        <v>71</v>
      </c>
      <c r="AK29" s="29">
        <v>75</v>
      </c>
      <c r="AL29" s="29" t="s">
        <v>234</v>
      </c>
      <c r="AM29" s="29" t="s">
        <v>127</v>
      </c>
      <c r="AN29" s="55">
        <v>3.3</v>
      </c>
      <c r="AO29" s="29" t="s">
        <v>276</v>
      </c>
      <c r="AP29" s="29">
        <v>3</v>
      </c>
      <c r="AQ29" s="29">
        <v>3.2</v>
      </c>
      <c r="AR29" s="29">
        <v>6.2</v>
      </c>
      <c r="AS29" s="29"/>
      <c r="AT29" s="29"/>
    </row>
    <row r="30" spans="5:46">
      <c r="E30" s="29">
        <f t="shared" si="0"/>
        <v>12</v>
      </c>
      <c r="F30" s="29" t="s">
        <v>71</v>
      </c>
      <c r="G30" s="29">
        <v>125</v>
      </c>
      <c r="H30" s="29" t="s">
        <v>1007</v>
      </c>
      <c r="I30" s="29" t="s">
        <v>623</v>
      </c>
      <c r="J30" s="55">
        <v>12</v>
      </c>
      <c r="K30" s="29" t="s">
        <v>276</v>
      </c>
      <c r="L30" s="29">
        <v>3</v>
      </c>
      <c r="M30" s="29">
        <v>3.2</v>
      </c>
      <c r="N30" s="29">
        <v>6.2</v>
      </c>
      <c r="O30" s="29"/>
      <c r="P30" s="29"/>
      <c r="U30" s="29">
        <f t="shared" si="1"/>
        <v>12</v>
      </c>
      <c r="V30" s="29" t="s">
        <v>71</v>
      </c>
      <c r="W30" s="29">
        <v>63</v>
      </c>
      <c r="X30" s="29" t="s">
        <v>743</v>
      </c>
      <c r="Y30" s="29" t="s">
        <v>650</v>
      </c>
      <c r="Z30" s="57">
        <v>50.9</v>
      </c>
      <c r="AA30" s="29" t="s">
        <v>276</v>
      </c>
      <c r="AB30" s="29">
        <v>3</v>
      </c>
      <c r="AC30" s="29">
        <v>3.2</v>
      </c>
      <c r="AD30" s="29">
        <v>6.2</v>
      </c>
      <c r="AE30" s="29"/>
      <c r="AF30" s="29"/>
      <c r="AI30" s="29">
        <f t="shared" si="2"/>
        <v>12</v>
      </c>
      <c r="AJ30" s="29" t="s">
        <v>71</v>
      </c>
      <c r="AK30" s="29">
        <v>75</v>
      </c>
      <c r="AL30" s="29" t="s">
        <v>234</v>
      </c>
      <c r="AM30" s="29" t="s">
        <v>127</v>
      </c>
      <c r="AN30" s="55">
        <v>100</v>
      </c>
      <c r="AO30" s="29" t="s">
        <v>276</v>
      </c>
      <c r="AP30" s="29">
        <v>3</v>
      </c>
      <c r="AQ30" s="29">
        <v>3.2</v>
      </c>
      <c r="AR30" s="29">
        <v>6.2</v>
      </c>
      <c r="AS30" s="29"/>
      <c r="AT30" s="29"/>
    </row>
    <row r="31" spans="5:46">
      <c r="E31" s="29">
        <f t="shared" si="0"/>
        <v>13</v>
      </c>
      <c r="F31" s="29" t="s">
        <v>71</v>
      </c>
      <c r="G31" s="29">
        <v>125</v>
      </c>
      <c r="H31" s="29" t="s">
        <v>623</v>
      </c>
      <c r="I31" s="29" t="s">
        <v>684</v>
      </c>
      <c r="J31" s="55">
        <v>195.1</v>
      </c>
      <c r="K31" s="29" t="s">
        <v>276</v>
      </c>
      <c r="L31" s="29">
        <v>3</v>
      </c>
      <c r="M31" s="29">
        <v>3.2</v>
      </c>
      <c r="N31" s="29">
        <v>6.2</v>
      </c>
      <c r="O31" s="29"/>
      <c r="P31" s="29"/>
      <c r="U31" s="29">
        <f t="shared" si="1"/>
        <v>13</v>
      </c>
      <c r="V31" s="29" t="s">
        <v>71</v>
      </c>
      <c r="W31" s="29">
        <v>63</v>
      </c>
      <c r="X31" s="29" t="s">
        <v>1006</v>
      </c>
      <c r="Y31" s="29" t="s">
        <v>752</v>
      </c>
      <c r="Z31" s="55">
        <v>189.7</v>
      </c>
      <c r="AA31" s="29" t="s">
        <v>276</v>
      </c>
      <c r="AB31" s="29">
        <v>3</v>
      </c>
      <c r="AC31" s="29">
        <v>3.2</v>
      </c>
      <c r="AD31" s="29">
        <v>6.2</v>
      </c>
      <c r="AE31" s="29"/>
      <c r="AF31" s="29"/>
      <c r="AI31" s="29">
        <f t="shared" si="2"/>
        <v>13</v>
      </c>
      <c r="AJ31" s="29" t="s">
        <v>71</v>
      </c>
      <c r="AK31" s="29">
        <v>75</v>
      </c>
      <c r="AL31" s="29" t="s">
        <v>1004</v>
      </c>
      <c r="AM31" s="29" t="s">
        <v>807</v>
      </c>
      <c r="AN31" s="55">
        <v>168.7</v>
      </c>
      <c r="AO31" s="29" t="s">
        <v>276</v>
      </c>
      <c r="AP31" s="29">
        <v>3</v>
      </c>
      <c r="AQ31" s="29">
        <v>3.2</v>
      </c>
      <c r="AR31" s="29">
        <v>6.2</v>
      </c>
      <c r="AS31" s="29"/>
      <c r="AT31" s="29"/>
    </row>
    <row r="32" spans="5:46">
      <c r="E32" s="29">
        <f t="shared" si="0"/>
        <v>14</v>
      </c>
      <c r="F32" s="29" t="s">
        <v>71</v>
      </c>
      <c r="G32" s="29">
        <v>110</v>
      </c>
      <c r="H32" s="29" t="s">
        <v>781</v>
      </c>
      <c r="I32" s="29" t="s">
        <v>1007</v>
      </c>
      <c r="J32" s="55">
        <v>207.1</v>
      </c>
      <c r="K32" s="29" t="s">
        <v>276</v>
      </c>
      <c r="L32" s="29">
        <v>3</v>
      </c>
      <c r="M32" s="29">
        <v>3.2</v>
      </c>
      <c r="N32" s="29">
        <v>6.2</v>
      </c>
      <c r="O32" s="29"/>
      <c r="P32" s="29"/>
      <c r="U32" s="29">
        <f t="shared" si="1"/>
        <v>14</v>
      </c>
      <c r="V32" s="29" t="s">
        <v>71</v>
      </c>
      <c r="W32" s="29">
        <v>63</v>
      </c>
      <c r="X32" s="29" t="s">
        <v>752</v>
      </c>
      <c r="Y32" s="29" t="s">
        <v>865</v>
      </c>
      <c r="Z32" s="55">
        <v>56.3</v>
      </c>
      <c r="AA32" s="29" t="s">
        <v>276</v>
      </c>
      <c r="AB32" s="29">
        <v>3</v>
      </c>
      <c r="AC32" s="29">
        <v>3.2</v>
      </c>
      <c r="AD32" s="29">
        <v>6.2</v>
      </c>
      <c r="AE32" s="29"/>
      <c r="AF32" s="29"/>
      <c r="AI32" s="29">
        <f t="shared" si="2"/>
        <v>14</v>
      </c>
      <c r="AJ32" s="29" t="s">
        <v>71</v>
      </c>
      <c r="AK32" s="29">
        <v>75</v>
      </c>
      <c r="AL32" s="29" t="s">
        <v>1004</v>
      </c>
      <c r="AM32" s="29" t="s">
        <v>994</v>
      </c>
      <c r="AN32" s="55">
        <v>4.5</v>
      </c>
      <c r="AO32" s="29" t="s">
        <v>276</v>
      </c>
      <c r="AP32" s="29">
        <v>3</v>
      </c>
      <c r="AQ32" s="29">
        <v>3.2</v>
      </c>
      <c r="AR32" s="29">
        <v>6.2</v>
      </c>
      <c r="AS32" s="29"/>
      <c r="AT32" s="29"/>
    </row>
    <row r="33" spans="5:46">
      <c r="E33" s="29"/>
      <c r="F33" s="29"/>
      <c r="G33" s="29"/>
      <c r="H33" s="29"/>
      <c r="I33" s="29"/>
      <c r="J33" s="55"/>
      <c r="K33" s="29"/>
      <c r="L33" s="29"/>
      <c r="M33" s="29"/>
      <c r="N33" s="29"/>
      <c r="O33" s="29"/>
      <c r="P33" s="29"/>
      <c r="U33" s="29">
        <f t="shared" si="1"/>
        <v>15</v>
      </c>
      <c r="V33" s="29" t="s">
        <v>71</v>
      </c>
      <c r="W33" s="29">
        <v>63</v>
      </c>
      <c r="X33" s="29" t="s">
        <v>752</v>
      </c>
      <c r="Y33" s="29" t="s">
        <v>232</v>
      </c>
      <c r="Z33" s="57">
        <v>83.8</v>
      </c>
      <c r="AA33" s="29" t="s">
        <v>276</v>
      </c>
      <c r="AB33" s="29">
        <v>3</v>
      </c>
      <c r="AC33" s="29">
        <v>3.2</v>
      </c>
      <c r="AD33" s="29">
        <v>6.2</v>
      </c>
      <c r="AE33" s="29"/>
      <c r="AF33" s="29"/>
      <c r="AI33" s="29">
        <f t="shared" si="2"/>
        <v>15</v>
      </c>
      <c r="AJ33" s="29" t="s">
        <v>71</v>
      </c>
      <c r="AK33" s="29">
        <v>75</v>
      </c>
      <c r="AL33" s="29" t="s">
        <v>1007</v>
      </c>
      <c r="AM33" s="29" t="s">
        <v>743</v>
      </c>
      <c r="AN33" s="55">
        <v>386.3</v>
      </c>
      <c r="AO33" s="29" t="s">
        <v>276</v>
      </c>
      <c r="AP33" s="29">
        <v>3</v>
      </c>
      <c r="AQ33" s="29">
        <v>3.2</v>
      </c>
      <c r="AR33" s="29">
        <v>6.2</v>
      </c>
      <c r="AS33" s="29"/>
      <c r="AT33" s="29"/>
    </row>
    <row r="34" spans="5:46">
      <c r="E34" s="324"/>
      <c r="F34" s="324"/>
      <c r="G34" s="325" t="s">
        <v>86</v>
      </c>
      <c r="H34" s="325"/>
      <c r="I34" s="325"/>
      <c r="J34" s="325"/>
      <c r="K34" s="325" t="s">
        <v>87</v>
      </c>
      <c r="L34" s="325"/>
      <c r="M34" s="325"/>
      <c r="N34" s="325" t="s">
        <v>39</v>
      </c>
      <c r="O34" s="325"/>
      <c r="P34" s="325"/>
      <c r="U34" s="29">
        <f t="shared" si="1"/>
        <v>16</v>
      </c>
      <c r="V34" s="29" t="s">
        <v>71</v>
      </c>
      <c r="W34" s="29">
        <v>63</v>
      </c>
      <c r="X34" s="29" t="s">
        <v>232</v>
      </c>
      <c r="Y34" s="29" t="s">
        <v>775</v>
      </c>
      <c r="Z34" s="55">
        <v>43.2</v>
      </c>
      <c r="AA34" s="29" t="s">
        <v>276</v>
      </c>
      <c r="AB34" s="29">
        <v>3</v>
      </c>
      <c r="AC34" s="29">
        <v>3.2</v>
      </c>
      <c r="AD34" s="29">
        <v>6.2</v>
      </c>
      <c r="AE34" s="29"/>
      <c r="AF34" s="29"/>
      <c r="AI34" s="29">
        <f t="shared" si="2"/>
        <v>16</v>
      </c>
      <c r="AJ34" s="29" t="s">
        <v>71</v>
      </c>
      <c r="AK34" s="29">
        <v>63</v>
      </c>
      <c r="AL34" s="29" t="s">
        <v>684</v>
      </c>
      <c r="AM34" s="29" t="s">
        <v>761</v>
      </c>
      <c r="AN34" s="55">
        <v>162.6</v>
      </c>
      <c r="AO34" s="29" t="s">
        <v>276</v>
      </c>
      <c r="AP34" s="29">
        <v>3</v>
      </c>
      <c r="AQ34" s="29">
        <v>3.2</v>
      </c>
      <c r="AR34" s="29">
        <v>6.2</v>
      </c>
      <c r="AS34" s="29"/>
      <c r="AT34" s="29"/>
    </row>
    <row r="35" spans="5:46">
      <c r="E35" s="295" t="s">
        <v>40</v>
      </c>
      <c r="F35" s="295"/>
      <c r="G35" s="317"/>
      <c r="H35" s="317"/>
      <c r="I35" s="317"/>
      <c r="J35" s="317"/>
      <c r="K35" s="317"/>
      <c r="L35" s="317"/>
      <c r="M35" s="317"/>
      <c r="N35" s="317"/>
      <c r="O35" s="317"/>
      <c r="P35" s="317"/>
      <c r="U35" s="29">
        <f t="shared" si="1"/>
        <v>17</v>
      </c>
      <c r="V35" s="29" t="s">
        <v>71</v>
      </c>
      <c r="W35" s="29">
        <v>63</v>
      </c>
      <c r="X35" s="29" t="s">
        <v>232</v>
      </c>
      <c r="Y35" s="29" t="s">
        <v>1008</v>
      </c>
      <c r="Z35" s="55">
        <v>31.4</v>
      </c>
      <c r="AA35" s="29" t="s">
        <v>276</v>
      </c>
      <c r="AB35" s="29">
        <v>3</v>
      </c>
      <c r="AC35" s="29">
        <v>3.2</v>
      </c>
      <c r="AD35" s="29">
        <v>6.2</v>
      </c>
      <c r="AE35" s="29"/>
      <c r="AF35" s="29"/>
      <c r="AI35" s="29">
        <f t="shared" si="2"/>
        <v>17</v>
      </c>
      <c r="AJ35" s="29" t="s">
        <v>71</v>
      </c>
      <c r="AK35" s="29">
        <v>63</v>
      </c>
      <c r="AL35" s="29" t="s">
        <v>684</v>
      </c>
      <c r="AM35" s="29" t="s">
        <v>761</v>
      </c>
      <c r="AN35" s="55">
        <v>18</v>
      </c>
      <c r="AO35" s="29" t="s">
        <v>276</v>
      </c>
      <c r="AP35" s="29">
        <v>3</v>
      </c>
      <c r="AQ35" s="29">
        <v>3.2</v>
      </c>
      <c r="AR35" s="29">
        <v>6.2</v>
      </c>
      <c r="AS35" s="29"/>
      <c r="AT35" s="29"/>
    </row>
    <row r="36" spans="5:46">
      <c r="E36" s="295" t="s">
        <v>41</v>
      </c>
      <c r="F36" s="295"/>
      <c r="G36" s="317"/>
      <c r="H36" s="317"/>
      <c r="I36" s="317"/>
      <c r="J36" s="317"/>
      <c r="K36" s="317"/>
      <c r="L36" s="317"/>
      <c r="M36" s="317"/>
      <c r="N36" s="317"/>
      <c r="O36" s="317"/>
      <c r="P36" s="317"/>
      <c r="U36" s="29">
        <f t="shared" si="1"/>
        <v>18</v>
      </c>
      <c r="V36" s="29" t="s">
        <v>71</v>
      </c>
      <c r="W36" s="29">
        <v>63</v>
      </c>
      <c r="X36" s="29" t="s">
        <v>1008</v>
      </c>
      <c r="Y36" s="29" t="s">
        <v>1009</v>
      </c>
      <c r="Z36" s="55">
        <v>4.2</v>
      </c>
      <c r="AA36" s="29" t="s">
        <v>276</v>
      </c>
      <c r="AB36" s="29">
        <v>3</v>
      </c>
      <c r="AC36" s="29">
        <v>3.2</v>
      </c>
      <c r="AD36" s="29">
        <v>6.2</v>
      </c>
      <c r="AE36" s="29"/>
      <c r="AF36" s="29"/>
      <c r="AI36" s="29">
        <f t="shared" si="2"/>
        <v>18</v>
      </c>
      <c r="AJ36" s="29" t="s">
        <v>71</v>
      </c>
      <c r="AK36" s="29">
        <v>63</v>
      </c>
      <c r="AL36" s="29" t="s">
        <v>781</v>
      </c>
      <c r="AM36" s="29" t="s">
        <v>655</v>
      </c>
      <c r="AN36" s="55">
        <v>92.9</v>
      </c>
      <c r="AO36" s="29" t="s">
        <v>276</v>
      </c>
      <c r="AP36" s="29">
        <v>3</v>
      </c>
      <c r="AQ36" s="29">
        <v>3.2</v>
      </c>
      <c r="AR36" s="29">
        <v>6.2</v>
      </c>
      <c r="AS36" s="29"/>
      <c r="AT36" s="29"/>
    </row>
    <row r="37" spans="5:46">
      <c r="E37" s="295" t="s">
        <v>42</v>
      </c>
      <c r="F37" s="295"/>
      <c r="G37" s="317"/>
      <c r="H37" s="317"/>
      <c r="I37" s="317"/>
      <c r="J37" s="317"/>
      <c r="K37" s="317"/>
      <c r="L37" s="317"/>
      <c r="M37" s="317"/>
      <c r="N37" s="317"/>
      <c r="O37" s="317"/>
      <c r="P37" s="317"/>
      <c r="U37" s="29">
        <f t="shared" si="1"/>
        <v>19</v>
      </c>
      <c r="V37" s="29" t="s">
        <v>71</v>
      </c>
      <c r="W37" s="29">
        <v>63</v>
      </c>
      <c r="X37" s="29" t="s">
        <v>1008</v>
      </c>
      <c r="Y37" s="29" t="s">
        <v>1009</v>
      </c>
      <c r="Z37" s="55">
        <v>59.3</v>
      </c>
      <c r="AA37" s="29" t="s">
        <v>276</v>
      </c>
      <c r="AB37" s="29">
        <v>3</v>
      </c>
      <c r="AC37" s="29">
        <v>3.2</v>
      </c>
      <c r="AD37" s="29">
        <v>6.2</v>
      </c>
      <c r="AE37" s="29"/>
      <c r="AF37" s="29"/>
      <c r="AI37" s="29">
        <f t="shared" si="2"/>
        <v>19</v>
      </c>
      <c r="AJ37" s="29" t="s">
        <v>71</v>
      </c>
      <c r="AK37" s="29">
        <v>63</v>
      </c>
      <c r="AL37" s="29" t="s">
        <v>655</v>
      </c>
      <c r="AM37" s="29" t="s">
        <v>1010</v>
      </c>
      <c r="AN37" s="55">
        <v>28.6</v>
      </c>
      <c r="AO37" s="29" t="s">
        <v>276</v>
      </c>
      <c r="AP37" s="29">
        <v>3</v>
      </c>
      <c r="AQ37" s="29">
        <v>3.2</v>
      </c>
      <c r="AR37" s="29">
        <v>6.2</v>
      </c>
      <c r="AS37" s="29"/>
      <c r="AT37" s="29"/>
    </row>
    <row r="38" spans="5:46">
      <c r="E38" s="295" t="s">
        <v>43</v>
      </c>
      <c r="F38" s="295"/>
      <c r="G38" s="315"/>
      <c r="H38" s="316"/>
      <c r="I38" s="316"/>
      <c r="J38" s="316"/>
      <c r="K38" s="317"/>
      <c r="L38" s="317"/>
      <c r="M38" s="317"/>
      <c r="N38" s="317"/>
      <c r="O38" s="317"/>
      <c r="P38" s="317"/>
      <c r="U38" s="29">
        <f t="shared" si="1"/>
        <v>20</v>
      </c>
      <c r="V38" s="29" t="s">
        <v>71</v>
      </c>
      <c r="W38" s="29">
        <v>63</v>
      </c>
      <c r="X38" s="29" t="s">
        <v>1008</v>
      </c>
      <c r="Y38" s="29" t="s">
        <v>1011</v>
      </c>
      <c r="Z38" s="55">
        <v>8.6999999999999993</v>
      </c>
      <c r="AA38" s="29" t="s">
        <v>276</v>
      </c>
      <c r="AB38" s="29">
        <v>3</v>
      </c>
      <c r="AC38" s="29">
        <v>3.2</v>
      </c>
      <c r="AD38" s="29">
        <v>6.2</v>
      </c>
      <c r="AE38" s="29"/>
      <c r="AF38" s="29"/>
      <c r="AI38" s="29">
        <f t="shared" si="2"/>
        <v>20</v>
      </c>
      <c r="AJ38" s="29" t="s">
        <v>71</v>
      </c>
      <c r="AK38" s="29">
        <v>63</v>
      </c>
      <c r="AL38" s="29" t="s">
        <v>1010</v>
      </c>
      <c r="AM38" s="29" t="s">
        <v>571</v>
      </c>
      <c r="AN38" s="55">
        <v>20.9</v>
      </c>
      <c r="AO38" s="29" t="s">
        <v>276</v>
      </c>
      <c r="AP38" s="29">
        <v>3</v>
      </c>
      <c r="AQ38" s="29">
        <v>3.2</v>
      </c>
      <c r="AR38" s="29">
        <v>6.2</v>
      </c>
      <c r="AS38" s="29"/>
      <c r="AT38" s="29"/>
    </row>
    <row r="39" spans="5:46">
      <c r="E39" s="46"/>
      <c r="F39" s="46"/>
      <c r="G39" s="46"/>
      <c r="H39" s="46"/>
      <c r="I39" s="46"/>
      <c r="J39" s="56"/>
      <c r="K39" s="46"/>
      <c r="L39" s="46"/>
      <c r="M39" s="46"/>
      <c r="N39" s="46"/>
      <c r="O39" s="46"/>
      <c r="P39" s="46"/>
      <c r="U39" s="29">
        <f t="shared" si="1"/>
        <v>21</v>
      </c>
      <c r="V39" s="29" t="s">
        <v>71</v>
      </c>
      <c r="W39" s="29">
        <v>63</v>
      </c>
      <c r="X39" s="29" t="s">
        <v>1011</v>
      </c>
      <c r="Y39" s="29" t="s">
        <v>788</v>
      </c>
      <c r="Z39" s="55">
        <v>71.2</v>
      </c>
      <c r="AA39" s="29" t="s">
        <v>276</v>
      </c>
      <c r="AB39" s="29">
        <v>3</v>
      </c>
      <c r="AC39" s="29">
        <v>3.2</v>
      </c>
      <c r="AD39" s="29">
        <v>6.2</v>
      </c>
      <c r="AE39" s="29"/>
      <c r="AF39" s="29"/>
      <c r="AI39" s="29">
        <f t="shared" si="2"/>
        <v>21</v>
      </c>
      <c r="AJ39" s="29" t="s">
        <v>71</v>
      </c>
      <c r="AK39" s="29">
        <v>63</v>
      </c>
      <c r="AL39" s="29" t="s">
        <v>1010</v>
      </c>
      <c r="AM39" s="29" t="s">
        <v>1012</v>
      </c>
      <c r="AN39" s="55">
        <v>40.700000000000003</v>
      </c>
      <c r="AO39" s="29" t="s">
        <v>276</v>
      </c>
      <c r="AP39" s="29">
        <v>3</v>
      </c>
      <c r="AQ39" s="29">
        <v>3.2</v>
      </c>
      <c r="AR39" s="29">
        <v>6.2</v>
      </c>
      <c r="AS39" s="29"/>
      <c r="AT39" s="29"/>
    </row>
    <row r="40" spans="5:46">
      <c r="E40" s="46"/>
      <c r="F40" s="46"/>
      <c r="G40" s="46"/>
      <c r="H40" s="46"/>
      <c r="I40" s="46"/>
      <c r="J40" s="56"/>
      <c r="K40" s="46"/>
      <c r="L40" s="46"/>
      <c r="M40" s="46"/>
      <c r="N40" s="46"/>
      <c r="O40" s="46"/>
      <c r="P40" s="46"/>
      <c r="U40" s="29">
        <f t="shared" si="1"/>
        <v>22</v>
      </c>
      <c r="V40" s="29" t="s">
        <v>71</v>
      </c>
      <c r="W40" s="29">
        <v>63</v>
      </c>
      <c r="X40" s="29" t="s">
        <v>1011</v>
      </c>
      <c r="Y40" s="29" t="s">
        <v>749</v>
      </c>
      <c r="Z40" s="55">
        <v>17.899999999999999</v>
      </c>
      <c r="AA40" s="29" t="s">
        <v>276</v>
      </c>
      <c r="AB40" s="29">
        <v>3</v>
      </c>
      <c r="AC40" s="29">
        <v>3.2</v>
      </c>
      <c r="AD40" s="29">
        <v>6.2</v>
      </c>
      <c r="AE40" s="29"/>
      <c r="AF40" s="29"/>
      <c r="AI40" s="29">
        <f t="shared" si="2"/>
        <v>22</v>
      </c>
      <c r="AJ40" s="29" t="s">
        <v>71</v>
      </c>
      <c r="AK40" s="29">
        <v>63</v>
      </c>
      <c r="AL40" s="29" t="s">
        <v>655</v>
      </c>
      <c r="AM40" s="29" t="s">
        <v>1013</v>
      </c>
      <c r="AN40" s="55">
        <v>93.1</v>
      </c>
      <c r="AO40" s="29" t="s">
        <v>276</v>
      </c>
      <c r="AP40" s="29">
        <v>3</v>
      </c>
      <c r="AQ40" s="29">
        <v>3.2</v>
      </c>
      <c r="AR40" s="29">
        <v>6.2</v>
      </c>
      <c r="AS40" s="29"/>
      <c r="AT40" s="29"/>
    </row>
    <row r="41" spans="5:46">
      <c r="E41" s="46"/>
      <c r="F41" s="46"/>
      <c r="G41" s="46"/>
      <c r="H41" s="46"/>
      <c r="I41" s="46"/>
      <c r="J41" s="56"/>
      <c r="K41" s="46"/>
      <c r="L41" s="46"/>
      <c r="M41" s="46"/>
      <c r="N41" s="46"/>
      <c r="O41" s="46"/>
      <c r="P41" s="46"/>
      <c r="U41" s="29">
        <f t="shared" si="1"/>
        <v>23</v>
      </c>
      <c r="V41" s="29" t="s">
        <v>71</v>
      </c>
      <c r="W41" s="29">
        <v>63</v>
      </c>
      <c r="X41" s="29" t="s">
        <v>749</v>
      </c>
      <c r="Y41" s="29" t="s">
        <v>780</v>
      </c>
      <c r="Z41" s="55">
        <v>70.2</v>
      </c>
      <c r="AA41" s="29" t="s">
        <v>276</v>
      </c>
      <c r="AB41" s="29">
        <v>3</v>
      </c>
      <c r="AC41" s="29">
        <v>3.2</v>
      </c>
      <c r="AD41" s="29">
        <v>6.2</v>
      </c>
      <c r="AE41" s="29"/>
      <c r="AF41" s="29"/>
      <c r="AI41" s="29">
        <f t="shared" si="2"/>
        <v>23</v>
      </c>
      <c r="AJ41" s="29" t="s">
        <v>71</v>
      </c>
      <c r="AK41" s="29">
        <v>63</v>
      </c>
      <c r="AL41" s="29" t="s">
        <v>655</v>
      </c>
      <c r="AM41" s="29" t="s">
        <v>1013</v>
      </c>
      <c r="AN41" s="55">
        <v>178.7</v>
      </c>
      <c r="AO41" s="29" t="s">
        <v>276</v>
      </c>
      <c r="AP41" s="29">
        <v>3</v>
      </c>
      <c r="AQ41" s="29">
        <v>3.2</v>
      </c>
      <c r="AR41" s="29">
        <v>6.2</v>
      </c>
      <c r="AS41" s="29"/>
      <c r="AT41" s="29"/>
    </row>
    <row r="42" spans="5:46">
      <c r="E42" s="46"/>
      <c r="F42" s="46"/>
      <c r="G42" s="46"/>
      <c r="H42" s="46"/>
      <c r="I42" s="46"/>
      <c r="J42" s="56"/>
      <c r="K42" s="46"/>
      <c r="L42" s="46"/>
      <c r="M42" s="46"/>
      <c r="N42" s="46"/>
      <c r="O42" s="46"/>
      <c r="P42" s="46"/>
      <c r="U42" s="29">
        <f t="shared" si="1"/>
        <v>24</v>
      </c>
      <c r="V42" s="29" t="s">
        <v>71</v>
      </c>
      <c r="W42" s="29">
        <v>63</v>
      </c>
      <c r="X42" s="29" t="s">
        <v>749</v>
      </c>
      <c r="Y42" s="29" t="s">
        <v>720</v>
      </c>
      <c r="Z42" s="55">
        <v>42.7</v>
      </c>
      <c r="AA42" s="29" t="s">
        <v>276</v>
      </c>
      <c r="AB42" s="29">
        <v>3</v>
      </c>
      <c r="AC42" s="29">
        <v>3.2</v>
      </c>
      <c r="AD42" s="29">
        <v>6.2</v>
      </c>
      <c r="AE42" s="29"/>
      <c r="AF42" s="29"/>
      <c r="AI42" s="29">
        <f t="shared" si="2"/>
        <v>24</v>
      </c>
      <c r="AJ42" s="29" t="s">
        <v>71</v>
      </c>
      <c r="AK42" s="29">
        <v>63</v>
      </c>
      <c r="AL42" s="29" t="s">
        <v>655</v>
      </c>
      <c r="AM42" s="29" t="s">
        <v>1013</v>
      </c>
      <c r="AN42" s="55">
        <v>95.4</v>
      </c>
      <c r="AO42" s="29" t="s">
        <v>276</v>
      </c>
      <c r="AP42" s="29">
        <v>3</v>
      </c>
      <c r="AQ42" s="29">
        <v>3.2</v>
      </c>
      <c r="AR42" s="29">
        <v>6.2</v>
      </c>
      <c r="AS42" s="29"/>
      <c r="AT42" s="29"/>
    </row>
    <row r="43" spans="5:46">
      <c r="E43" s="46"/>
      <c r="F43" s="46"/>
      <c r="G43" s="46"/>
      <c r="H43" s="46"/>
      <c r="I43" s="46"/>
      <c r="J43" s="56"/>
      <c r="K43" s="46"/>
      <c r="L43" s="46"/>
      <c r="M43" s="46"/>
      <c r="N43" s="46"/>
      <c r="O43" s="46"/>
      <c r="P43" s="46"/>
      <c r="U43" s="29">
        <f t="shared" si="1"/>
        <v>25</v>
      </c>
      <c r="V43" s="29" t="s">
        <v>71</v>
      </c>
      <c r="W43" s="29">
        <v>63</v>
      </c>
      <c r="X43" s="29" t="s">
        <v>795</v>
      </c>
      <c r="Y43" s="29" t="s">
        <v>172</v>
      </c>
      <c r="Z43" s="57">
        <v>187.3</v>
      </c>
      <c r="AA43" s="29" t="s">
        <v>276</v>
      </c>
      <c r="AB43" s="29">
        <v>3</v>
      </c>
      <c r="AC43" s="29">
        <v>3.2</v>
      </c>
      <c r="AD43" s="29">
        <v>6.2</v>
      </c>
      <c r="AE43" s="29"/>
      <c r="AF43" s="29"/>
      <c r="AI43" s="29">
        <f t="shared" si="2"/>
        <v>25</v>
      </c>
      <c r="AJ43" s="29" t="s">
        <v>71</v>
      </c>
      <c r="AK43" s="29">
        <v>63</v>
      </c>
      <c r="AL43" s="29" t="s">
        <v>655</v>
      </c>
      <c r="AM43" s="29" t="s">
        <v>1013</v>
      </c>
      <c r="AN43" s="55">
        <v>5.4</v>
      </c>
      <c r="AO43" s="29" t="s">
        <v>276</v>
      </c>
      <c r="AP43" s="29">
        <v>3</v>
      </c>
      <c r="AQ43" s="29">
        <v>3.2</v>
      </c>
      <c r="AR43" s="29">
        <v>6.2</v>
      </c>
      <c r="AS43" s="29"/>
      <c r="AT43" s="29"/>
    </row>
    <row r="44" spans="5:46">
      <c r="E44" s="46"/>
      <c r="F44" s="46"/>
      <c r="G44" s="46"/>
      <c r="H44" s="46"/>
      <c r="I44" s="46"/>
      <c r="J44" s="56"/>
      <c r="K44" s="46"/>
      <c r="L44" s="46"/>
      <c r="M44" s="46"/>
      <c r="N44" s="46"/>
      <c r="O44" s="46"/>
      <c r="P44" s="46"/>
      <c r="U44" s="29">
        <f t="shared" si="1"/>
        <v>26</v>
      </c>
      <c r="V44" s="29" t="s">
        <v>71</v>
      </c>
      <c r="W44" s="29">
        <v>63</v>
      </c>
      <c r="X44" s="29" t="s">
        <v>720</v>
      </c>
      <c r="Y44" s="29" t="s">
        <v>810</v>
      </c>
      <c r="Z44" s="57">
        <v>46.8</v>
      </c>
      <c r="AA44" s="29" t="s">
        <v>276</v>
      </c>
      <c r="AB44" s="29">
        <v>3</v>
      </c>
      <c r="AC44" s="29">
        <v>3.2</v>
      </c>
      <c r="AD44" s="29">
        <v>6.2</v>
      </c>
      <c r="AE44" s="29"/>
      <c r="AF44" s="29"/>
      <c r="AI44" s="29">
        <f t="shared" si="2"/>
        <v>26</v>
      </c>
      <c r="AJ44" s="29" t="s">
        <v>71</v>
      </c>
      <c r="AK44" s="29">
        <v>63</v>
      </c>
      <c r="AL44" s="29" t="s">
        <v>741</v>
      </c>
      <c r="AM44" s="29" t="s">
        <v>795</v>
      </c>
      <c r="AN44" s="55">
        <v>151.4</v>
      </c>
      <c r="AO44" s="29" t="s">
        <v>276</v>
      </c>
      <c r="AP44" s="29">
        <v>3</v>
      </c>
      <c r="AQ44" s="29">
        <v>3.2</v>
      </c>
      <c r="AR44" s="29">
        <v>6.2</v>
      </c>
      <c r="AS44" s="29"/>
      <c r="AT44" s="29"/>
    </row>
    <row r="45" spans="5:46">
      <c r="E45" s="46"/>
      <c r="F45" s="46"/>
      <c r="G45" s="46"/>
      <c r="H45" s="46"/>
      <c r="I45" s="46"/>
      <c r="J45" s="56"/>
      <c r="K45" s="46"/>
      <c r="L45" s="46"/>
      <c r="M45" s="46"/>
      <c r="N45" s="46"/>
      <c r="O45" s="46"/>
      <c r="P45" s="46"/>
      <c r="U45" s="29">
        <f t="shared" si="1"/>
        <v>27</v>
      </c>
      <c r="V45" s="29" t="s">
        <v>71</v>
      </c>
      <c r="W45" s="29">
        <v>63</v>
      </c>
      <c r="X45" s="29" t="s">
        <v>720</v>
      </c>
      <c r="Y45" s="29" t="s">
        <v>1014</v>
      </c>
      <c r="Z45" s="57">
        <v>34.700000000000003</v>
      </c>
      <c r="AA45" s="29" t="s">
        <v>276</v>
      </c>
      <c r="AB45" s="29">
        <v>3</v>
      </c>
      <c r="AC45" s="29">
        <v>3.2</v>
      </c>
      <c r="AD45" s="29">
        <v>6.2</v>
      </c>
      <c r="AE45" s="29"/>
      <c r="AF45" s="29"/>
      <c r="AI45" s="29">
        <f t="shared" si="2"/>
        <v>27</v>
      </c>
      <c r="AJ45" s="29" t="s">
        <v>71</v>
      </c>
      <c r="AK45" s="29">
        <v>63</v>
      </c>
      <c r="AL45" s="29" t="s">
        <v>158</v>
      </c>
      <c r="AM45" s="29" t="s">
        <v>172</v>
      </c>
      <c r="AN45" s="55">
        <v>185.6</v>
      </c>
      <c r="AO45" s="29" t="s">
        <v>276</v>
      </c>
      <c r="AP45" s="29">
        <v>3</v>
      </c>
      <c r="AQ45" s="29">
        <v>3.2</v>
      </c>
      <c r="AR45" s="29">
        <v>6.2</v>
      </c>
      <c r="AS45" s="29"/>
      <c r="AT45" s="29"/>
    </row>
    <row r="46" spans="5:46">
      <c r="E46" s="46"/>
      <c r="F46" s="46"/>
      <c r="G46" s="46"/>
      <c r="H46" s="46"/>
      <c r="I46" s="46"/>
      <c r="J46" s="56"/>
      <c r="K46" s="46"/>
      <c r="L46" s="46"/>
      <c r="M46" s="46"/>
      <c r="N46" s="46"/>
      <c r="O46" s="46"/>
      <c r="P46" s="46"/>
      <c r="U46" s="29">
        <f t="shared" si="1"/>
        <v>28</v>
      </c>
      <c r="V46" s="29" t="s">
        <v>71</v>
      </c>
      <c r="W46" s="29">
        <v>63</v>
      </c>
      <c r="X46" s="29" t="s">
        <v>238</v>
      </c>
      <c r="Y46" s="29" t="s">
        <v>153</v>
      </c>
      <c r="Z46" s="57">
        <v>117.1</v>
      </c>
      <c r="AA46" s="29" t="s">
        <v>276</v>
      </c>
      <c r="AB46" s="29">
        <v>3</v>
      </c>
      <c r="AC46" s="29">
        <v>3.2</v>
      </c>
      <c r="AD46" s="29">
        <v>6.2</v>
      </c>
      <c r="AE46" s="29"/>
      <c r="AF46" s="29"/>
      <c r="AI46" s="29">
        <f t="shared" si="2"/>
        <v>28</v>
      </c>
      <c r="AJ46" s="29" t="s">
        <v>71</v>
      </c>
      <c r="AK46" s="29">
        <v>63</v>
      </c>
      <c r="AL46" s="29" t="s">
        <v>795</v>
      </c>
      <c r="AM46" s="29" t="s">
        <v>547</v>
      </c>
      <c r="AN46" s="55">
        <v>3.3</v>
      </c>
      <c r="AO46" s="29" t="s">
        <v>276</v>
      </c>
      <c r="AP46" s="29">
        <v>3</v>
      </c>
      <c r="AQ46" s="29">
        <v>3.2</v>
      </c>
      <c r="AR46" s="29">
        <v>6.2</v>
      </c>
      <c r="AS46" s="29"/>
      <c r="AT46" s="29"/>
    </row>
    <row r="47" spans="5:46">
      <c r="E47" s="46"/>
      <c r="F47" s="46"/>
      <c r="G47" s="46"/>
      <c r="H47" s="46"/>
      <c r="I47" s="46"/>
      <c r="J47" s="56"/>
      <c r="K47" s="46"/>
      <c r="L47" s="46"/>
      <c r="M47" s="46"/>
      <c r="N47" s="46"/>
      <c r="O47" s="46"/>
      <c r="P47" s="46"/>
      <c r="U47" s="29">
        <f t="shared" si="1"/>
        <v>29</v>
      </c>
      <c r="V47" s="29" t="s">
        <v>71</v>
      </c>
      <c r="W47" s="29">
        <v>63</v>
      </c>
      <c r="X47" s="29" t="s">
        <v>238</v>
      </c>
      <c r="Y47" s="29" t="s">
        <v>153</v>
      </c>
      <c r="Z47" s="57">
        <v>5.7</v>
      </c>
      <c r="AA47" s="29" t="s">
        <v>276</v>
      </c>
      <c r="AB47" s="29">
        <v>3</v>
      </c>
      <c r="AC47" s="29">
        <v>3.2</v>
      </c>
      <c r="AD47" s="29">
        <v>6.2</v>
      </c>
      <c r="AE47" s="29"/>
      <c r="AF47" s="29"/>
      <c r="AI47" s="29"/>
      <c r="AJ47" s="29"/>
      <c r="AK47" s="29"/>
      <c r="AL47" s="29"/>
      <c r="AM47" s="29"/>
      <c r="AN47" s="55"/>
      <c r="AO47" s="29"/>
      <c r="AP47" s="29"/>
      <c r="AQ47" s="29"/>
      <c r="AR47" s="29"/>
      <c r="AS47" s="29"/>
      <c r="AT47" s="29"/>
    </row>
    <row r="48" spans="5:46">
      <c r="E48" s="46"/>
      <c r="F48" s="46"/>
      <c r="G48" s="46"/>
      <c r="H48" s="46"/>
      <c r="I48" s="46"/>
      <c r="J48" s="56"/>
      <c r="K48" s="46"/>
      <c r="L48" s="46"/>
      <c r="M48" s="46"/>
      <c r="N48" s="46"/>
      <c r="O48" s="46"/>
      <c r="P48" s="46"/>
      <c r="U48" s="29">
        <f t="shared" si="1"/>
        <v>30</v>
      </c>
      <c r="V48" s="29" t="s">
        <v>71</v>
      </c>
      <c r="W48" s="29">
        <v>63</v>
      </c>
      <c r="X48" s="29" t="s">
        <v>153</v>
      </c>
      <c r="Y48" s="29" t="s">
        <v>536</v>
      </c>
      <c r="Z48" s="57">
        <v>109.1</v>
      </c>
      <c r="AA48" s="29" t="s">
        <v>276</v>
      </c>
      <c r="AB48" s="29">
        <v>3</v>
      </c>
      <c r="AC48" s="29">
        <v>3.2</v>
      </c>
      <c r="AD48" s="29">
        <v>6.2</v>
      </c>
      <c r="AE48" s="29"/>
      <c r="AF48" s="29"/>
      <c r="AI48" s="324"/>
      <c r="AJ48" s="324"/>
      <c r="AK48" s="325" t="s">
        <v>86</v>
      </c>
      <c r="AL48" s="325"/>
      <c r="AM48" s="325"/>
      <c r="AN48" s="325"/>
      <c r="AO48" s="325" t="s">
        <v>87</v>
      </c>
      <c r="AP48" s="325"/>
      <c r="AQ48" s="325"/>
      <c r="AR48" s="325" t="s">
        <v>39</v>
      </c>
      <c r="AS48" s="325"/>
      <c r="AT48" s="325"/>
    </row>
    <row r="49" spans="5:46">
      <c r="E49" s="46"/>
      <c r="F49" s="46"/>
      <c r="G49" s="46"/>
      <c r="H49" s="46"/>
      <c r="I49" s="46"/>
      <c r="J49" s="56"/>
      <c r="K49" s="46"/>
      <c r="L49" s="46"/>
      <c r="M49" s="46"/>
      <c r="N49" s="46"/>
      <c r="O49" s="46"/>
      <c r="P49" s="46"/>
      <c r="U49" s="29">
        <f t="shared" si="1"/>
        <v>31</v>
      </c>
      <c r="V49" s="29" t="s">
        <v>71</v>
      </c>
      <c r="W49" s="29">
        <v>63</v>
      </c>
      <c r="X49" s="29" t="s">
        <v>536</v>
      </c>
      <c r="Y49" s="29" t="s">
        <v>537</v>
      </c>
      <c r="Z49" s="57">
        <v>3.7</v>
      </c>
      <c r="AA49" s="29" t="s">
        <v>276</v>
      </c>
      <c r="AB49" s="29">
        <v>3</v>
      </c>
      <c r="AC49" s="29">
        <v>3.2</v>
      </c>
      <c r="AD49" s="29">
        <v>6.2</v>
      </c>
      <c r="AE49" s="29"/>
      <c r="AF49" s="29"/>
      <c r="AI49" s="295" t="s">
        <v>40</v>
      </c>
      <c r="AJ49" s="295"/>
      <c r="AK49" s="317"/>
      <c r="AL49" s="317"/>
      <c r="AM49" s="317"/>
      <c r="AN49" s="317"/>
      <c r="AO49" s="317"/>
      <c r="AP49" s="317"/>
      <c r="AQ49" s="317"/>
      <c r="AR49" s="317"/>
      <c r="AS49" s="317"/>
      <c r="AT49" s="317"/>
    </row>
    <row r="50" spans="5:46">
      <c r="E50" s="46"/>
      <c r="F50" s="46"/>
      <c r="G50" s="46"/>
      <c r="H50" s="46"/>
      <c r="I50" s="46"/>
      <c r="J50" s="56"/>
      <c r="K50" s="46"/>
      <c r="L50" s="46"/>
      <c r="M50" s="46"/>
      <c r="N50" s="46"/>
      <c r="O50" s="46"/>
      <c r="P50" s="46"/>
      <c r="U50" s="29">
        <f t="shared" si="1"/>
        <v>32</v>
      </c>
      <c r="V50" s="29" t="s">
        <v>71</v>
      </c>
      <c r="W50" s="29">
        <v>63</v>
      </c>
      <c r="X50" s="29" t="s">
        <v>536</v>
      </c>
      <c r="Y50" s="29" t="s">
        <v>245</v>
      </c>
      <c r="Z50" s="57">
        <v>45.3</v>
      </c>
      <c r="AA50" s="29" t="s">
        <v>276</v>
      </c>
      <c r="AB50" s="29">
        <v>3</v>
      </c>
      <c r="AC50" s="29">
        <v>3.2</v>
      </c>
      <c r="AD50" s="29">
        <v>6.2</v>
      </c>
      <c r="AE50" s="29"/>
      <c r="AF50" s="29"/>
      <c r="AI50" s="295" t="s">
        <v>41</v>
      </c>
      <c r="AJ50" s="295"/>
      <c r="AK50" s="317"/>
      <c r="AL50" s="317"/>
      <c r="AM50" s="317"/>
      <c r="AN50" s="317"/>
      <c r="AO50" s="317"/>
      <c r="AP50" s="317"/>
      <c r="AQ50" s="317"/>
      <c r="AR50" s="317"/>
      <c r="AS50" s="317"/>
      <c r="AT50" s="317"/>
    </row>
    <row r="51" spans="5:46">
      <c r="E51" s="46"/>
      <c r="F51" s="46"/>
      <c r="G51" s="46"/>
      <c r="H51" s="46"/>
      <c r="I51" s="46"/>
      <c r="J51" s="56"/>
      <c r="K51" s="46"/>
      <c r="L51" s="46"/>
      <c r="M51" s="46"/>
      <c r="N51" s="46"/>
      <c r="O51" s="46"/>
      <c r="P51" s="46"/>
      <c r="U51" s="29">
        <f t="shared" si="1"/>
        <v>33</v>
      </c>
      <c r="V51" s="29" t="s">
        <v>71</v>
      </c>
      <c r="W51" s="29">
        <v>63</v>
      </c>
      <c r="X51" s="29" t="s">
        <v>536</v>
      </c>
      <c r="Y51" s="29" t="s">
        <v>1015</v>
      </c>
      <c r="Z51" s="55">
        <v>432.1</v>
      </c>
      <c r="AA51" s="29" t="s">
        <v>276</v>
      </c>
      <c r="AB51" s="29">
        <v>3</v>
      </c>
      <c r="AC51" s="29">
        <v>3.2</v>
      </c>
      <c r="AD51" s="29">
        <v>6.2</v>
      </c>
      <c r="AE51" s="29"/>
      <c r="AF51" s="29"/>
      <c r="AI51" s="295" t="s">
        <v>42</v>
      </c>
      <c r="AJ51" s="295"/>
      <c r="AK51" s="317"/>
      <c r="AL51" s="317"/>
      <c r="AM51" s="317"/>
      <c r="AN51" s="317"/>
      <c r="AO51" s="317"/>
      <c r="AP51" s="317"/>
      <c r="AQ51" s="317"/>
      <c r="AR51" s="317"/>
      <c r="AS51" s="317"/>
      <c r="AT51" s="317"/>
    </row>
    <row r="52" spans="5:46">
      <c r="E52" s="46"/>
      <c r="F52" s="46"/>
      <c r="G52" s="46"/>
      <c r="H52" s="46"/>
      <c r="I52" s="46"/>
      <c r="J52" s="56"/>
      <c r="K52" s="46"/>
      <c r="L52" s="46"/>
      <c r="M52" s="46"/>
      <c r="N52" s="46"/>
      <c r="O52" s="46"/>
      <c r="P52" s="46"/>
      <c r="U52" s="29">
        <f t="shared" si="1"/>
        <v>34</v>
      </c>
      <c r="V52" s="29" t="s">
        <v>71</v>
      </c>
      <c r="W52" s="29">
        <v>63</v>
      </c>
      <c r="X52" s="29" t="s">
        <v>1015</v>
      </c>
      <c r="Y52" s="29" t="s">
        <v>244</v>
      </c>
      <c r="Z52" s="57">
        <v>32.200000000000003</v>
      </c>
      <c r="AA52" s="29" t="s">
        <v>276</v>
      </c>
      <c r="AB52" s="29">
        <v>3</v>
      </c>
      <c r="AC52" s="29">
        <v>3.2</v>
      </c>
      <c r="AD52" s="29">
        <v>6.2</v>
      </c>
      <c r="AE52" s="29"/>
      <c r="AF52" s="29"/>
      <c r="AI52" s="295" t="s">
        <v>43</v>
      </c>
      <c r="AJ52" s="295"/>
      <c r="AK52" s="315"/>
      <c r="AL52" s="316"/>
      <c r="AM52" s="316"/>
      <c r="AN52" s="316"/>
      <c r="AO52" s="317"/>
      <c r="AP52" s="317"/>
      <c r="AQ52" s="317"/>
      <c r="AR52" s="317"/>
      <c r="AS52" s="317"/>
      <c r="AT52" s="317"/>
    </row>
    <row r="53" spans="5:46">
      <c r="E53" s="46"/>
      <c r="F53" s="46"/>
      <c r="G53" s="46"/>
      <c r="H53" s="46"/>
      <c r="I53" s="46"/>
      <c r="J53" s="56"/>
      <c r="K53" s="46"/>
      <c r="L53" s="46"/>
      <c r="M53" s="46"/>
      <c r="N53" s="46"/>
      <c r="O53" s="46"/>
      <c r="P53" s="46"/>
      <c r="U53" s="29">
        <f t="shared" si="1"/>
        <v>35</v>
      </c>
      <c r="V53" s="29" t="s">
        <v>71</v>
      </c>
      <c r="W53" s="29">
        <v>63</v>
      </c>
      <c r="X53" s="29" t="s">
        <v>1015</v>
      </c>
      <c r="Y53" s="29" t="s">
        <v>244</v>
      </c>
      <c r="Z53" s="55">
        <v>2.8</v>
      </c>
      <c r="AA53" s="29" t="s">
        <v>276</v>
      </c>
      <c r="AB53" s="29">
        <v>3</v>
      </c>
      <c r="AC53" s="29">
        <v>3.2</v>
      </c>
      <c r="AD53" s="29">
        <v>6.2</v>
      </c>
      <c r="AE53" s="29"/>
      <c r="AF53" s="29"/>
      <c r="AI53" s="46"/>
      <c r="AJ53" s="46"/>
      <c r="AK53" s="46"/>
      <c r="AL53" s="46"/>
      <c r="AM53" s="46"/>
      <c r="AN53" s="56"/>
      <c r="AO53" s="46"/>
      <c r="AP53" s="46"/>
      <c r="AQ53" s="46"/>
      <c r="AR53" s="46"/>
      <c r="AS53" s="46"/>
      <c r="AT53" s="46"/>
    </row>
    <row r="54" spans="5:46">
      <c r="E54" s="46"/>
      <c r="F54" s="46"/>
      <c r="G54" s="46"/>
      <c r="H54" s="46"/>
      <c r="I54" s="46"/>
      <c r="J54" s="56"/>
      <c r="K54" s="46"/>
      <c r="L54" s="46"/>
      <c r="M54" s="46"/>
      <c r="N54" s="46"/>
      <c r="O54" s="46"/>
      <c r="P54" s="46"/>
      <c r="U54" s="29">
        <f t="shared" si="1"/>
        <v>36</v>
      </c>
      <c r="V54" s="29" t="s">
        <v>71</v>
      </c>
      <c r="W54" s="29">
        <v>63</v>
      </c>
      <c r="X54" s="29" t="s">
        <v>1015</v>
      </c>
      <c r="Y54" s="29" t="s">
        <v>1016</v>
      </c>
      <c r="Z54" s="55">
        <v>61.6</v>
      </c>
      <c r="AA54" s="29" t="s">
        <v>276</v>
      </c>
      <c r="AB54" s="29">
        <v>3</v>
      </c>
      <c r="AC54" s="29">
        <v>3.2</v>
      </c>
      <c r="AD54" s="29">
        <v>6.2</v>
      </c>
      <c r="AE54" s="29"/>
      <c r="AF54" s="29"/>
    </row>
    <row r="55" spans="5:46">
      <c r="E55" s="46"/>
      <c r="F55" s="46"/>
      <c r="G55" s="46"/>
      <c r="H55" s="46"/>
      <c r="I55" s="46"/>
      <c r="J55" s="56"/>
      <c r="K55" s="46"/>
      <c r="L55" s="46"/>
      <c r="M55" s="46"/>
      <c r="N55" s="46"/>
      <c r="O55" s="46"/>
      <c r="P55" s="46"/>
      <c r="U55" s="29">
        <f t="shared" si="1"/>
        <v>37</v>
      </c>
      <c r="V55" s="29" t="s">
        <v>71</v>
      </c>
      <c r="W55" s="29">
        <v>63</v>
      </c>
      <c r="X55" s="29" t="s">
        <v>238</v>
      </c>
      <c r="Y55" s="29" t="s">
        <v>236</v>
      </c>
      <c r="Z55" s="55">
        <v>3.5</v>
      </c>
      <c r="AA55" s="29" t="s">
        <v>276</v>
      </c>
      <c r="AB55" s="29">
        <v>3</v>
      </c>
      <c r="AC55" s="29">
        <v>3.2</v>
      </c>
      <c r="AD55" s="29">
        <v>6.2</v>
      </c>
      <c r="AE55" s="29"/>
      <c r="AF55" s="29"/>
    </row>
    <row r="56" spans="5:46">
      <c r="E56" s="46"/>
      <c r="F56" s="46"/>
      <c r="G56" s="46"/>
      <c r="H56" s="46"/>
      <c r="I56" s="46"/>
      <c r="J56" s="56"/>
      <c r="K56" s="46"/>
      <c r="L56" s="46"/>
      <c r="M56" s="46"/>
      <c r="N56" s="46"/>
      <c r="O56" s="46"/>
      <c r="P56" s="46"/>
      <c r="U56" s="29">
        <f t="shared" si="1"/>
        <v>38</v>
      </c>
      <c r="V56" s="29" t="s">
        <v>71</v>
      </c>
      <c r="W56" s="29">
        <v>63</v>
      </c>
      <c r="X56" s="29" t="s">
        <v>238</v>
      </c>
      <c r="Y56" s="29" t="s">
        <v>236</v>
      </c>
      <c r="Z56" s="55">
        <v>85</v>
      </c>
      <c r="AA56" s="29" t="s">
        <v>276</v>
      </c>
      <c r="AB56" s="29">
        <v>3</v>
      </c>
      <c r="AC56" s="29">
        <v>3.2</v>
      </c>
      <c r="AD56" s="29">
        <v>6.2</v>
      </c>
      <c r="AE56" s="29"/>
      <c r="AF56" s="29"/>
    </row>
    <row r="57" spans="5:46">
      <c r="E57" s="46"/>
      <c r="F57" s="46"/>
      <c r="G57" s="46"/>
      <c r="H57" s="46"/>
      <c r="I57" s="46"/>
      <c r="J57" s="46"/>
      <c r="K57" s="46"/>
      <c r="L57" s="46"/>
      <c r="M57" s="46"/>
      <c r="N57" s="46"/>
      <c r="O57" s="46"/>
      <c r="P57" s="46"/>
      <c r="U57" s="29">
        <f t="shared" si="1"/>
        <v>39</v>
      </c>
      <c r="V57" s="29" t="s">
        <v>71</v>
      </c>
      <c r="W57" s="29">
        <v>63</v>
      </c>
      <c r="X57" s="29" t="s">
        <v>795</v>
      </c>
      <c r="Y57" s="29" t="s">
        <v>547</v>
      </c>
      <c r="Z57" s="55">
        <v>354.5</v>
      </c>
      <c r="AA57" s="29" t="s">
        <v>276</v>
      </c>
      <c r="AB57" s="29">
        <v>3</v>
      </c>
      <c r="AC57" s="29">
        <v>3.2</v>
      </c>
      <c r="AD57" s="29">
        <v>6.2</v>
      </c>
      <c r="AE57" s="29"/>
      <c r="AF57" s="29"/>
    </row>
    <row r="58" spans="5:46">
      <c r="E58" s="46"/>
      <c r="F58" s="46"/>
      <c r="G58" s="46"/>
      <c r="H58" s="46"/>
      <c r="I58" s="46"/>
      <c r="J58" s="46"/>
      <c r="K58" s="46"/>
      <c r="L58" s="46"/>
      <c r="M58" s="46"/>
      <c r="N58" s="46"/>
      <c r="O58" s="46"/>
      <c r="P58" s="46"/>
      <c r="U58" s="29"/>
      <c r="V58" s="29"/>
      <c r="W58" s="29"/>
      <c r="X58" s="29"/>
      <c r="Y58" s="29"/>
      <c r="Z58" s="29"/>
      <c r="AA58" s="29"/>
      <c r="AB58" s="29"/>
      <c r="AC58" s="29"/>
      <c r="AD58" s="29"/>
      <c r="AE58" s="29"/>
      <c r="AF58" s="29"/>
    </row>
    <row r="59" spans="5:46">
      <c r="E59" s="46"/>
      <c r="F59" s="46"/>
      <c r="G59" s="46"/>
      <c r="H59" s="46"/>
      <c r="I59" s="46"/>
      <c r="J59" s="56"/>
      <c r="K59" s="46"/>
      <c r="L59" s="46"/>
      <c r="M59" s="46"/>
      <c r="N59" s="46"/>
      <c r="O59" s="46"/>
      <c r="P59" s="46"/>
      <c r="U59" s="324"/>
      <c r="V59" s="324"/>
      <c r="W59" s="325" t="s">
        <v>86</v>
      </c>
      <c r="X59" s="325"/>
      <c r="Y59" s="325"/>
      <c r="Z59" s="325"/>
      <c r="AA59" s="325" t="s">
        <v>87</v>
      </c>
      <c r="AB59" s="325"/>
      <c r="AC59" s="325"/>
      <c r="AD59" s="325" t="s">
        <v>39</v>
      </c>
      <c r="AE59" s="325"/>
      <c r="AF59" s="325"/>
    </row>
    <row r="60" spans="5:46">
      <c r="E60" s="46"/>
      <c r="F60" s="46"/>
      <c r="G60" s="46"/>
      <c r="H60" s="46"/>
      <c r="I60" s="46"/>
      <c r="J60" s="46"/>
      <c r="K60" s="46"/>
      <c r="L60" s="46"/>
      <c r="M60" s="46"/>
      <c r="N60" s="46"/>
      <c r="O60" s="46"/>
      <c r="P60" s="46"/>
      <c r="U60" s="295" t="s">
        <v>40</v>
      </c>
      <c r="V60" s="295"/>
      <c r="W60" s="317"/>
      <c r="X60" s="317"/>
      <c r="Y60" s="317"/>
      <c r="Z60" s="317"/>
      <c r="AA60" s="317"/>
      <c r="AB60" s="317"/>
      <c r="AC60" s="317"/>
      <c r="AD60" s="317"/>
      <c r="AE60" s="317"/>
      <c r="AF60" s="317"/>
    </row>
    <row r="61" spans="5:46">
      <c r="E61" s="46"/>
      <c r="F61" s="46"/>
      <c r="G61" s="46"/>
      <c r="H61" s="46"/>
      <c r="I61" s="46"/>
      <c r="J61" s="46"/>
      <c r="K61" s="46"/>
      <c r="L61" s="46"/>
      <c r="M61" s="46"/>
      <c r="N61" s="46"/>
      <c r="O61" s="46"/>
      <c r="P61" s="46"/>
      <c r="U61" s="295" t="s">
        <v>41</v>
      </c>
      <c r="V61" s="295"/>
      <c r="W61" s="317"/>
      <c r="X61" s="317"/>
      <c r="Y61" s="317"/>
      <c r="Z61" s="317"/>
      <c r="AA61" s="317"/>
      <c r="AB61" s="317"/>
      <c r="AC61" s="317"/>
      <c r="AD61" s="317"/>
      <c r="AE61" s="317"/>
      <c r="AF61" s="317"/>
    </row>
    <row r="62" spans="5:46">
      <c r="E62" s="46"/>
      <c r="F62" s="46"/>
      <c r="G62" s="46"/>
      <c r="H62" s="46"/>
      <c r="I62" s="46"/>
      <c r="J62" s="46"/>
      <c r="K62" s="46"/>
      <c r="L62" s="46"/>
      <c r="M62" s="46"/>
      <c r="N62" s="46"/>
      <c r="O62" s="46"/>
      <c r="P62" s="46"/>
      <c r="U62" s="295" t="s">
        <v>42</v>
      </c>
      <c r="V62" s="295"/>
      <c r="W62" s="317"/>
      <c r="X62" s="317"/>
      <c r="Y62" s="317"/>
      <c r="Z62" s="317"/>
      <c r="AA62" s="317"/>
      <c r="AB62" s="317"/>
      <c r="AC62" s="317"/>
      <c r="AD62" s="317"/>
      <c r="AE62" s="317"/>
      <c r="AF62" s="317"/>
    </row>
    <row r="63" spans="5:46">
      <c r="E63" s="46"/>
      <c r="F63" s="46"/>
      <c r="G63" s="46"/>
      <c r="H63" s="46"/>
      <c r="I63" s="46"/>
      <c r="J63" s="46"/>
      <c r="K63" s="46"/>
      <c r="L63" s="46"/>
      <c r="M63" s="46"/>
      <c r="N63" s="46"/>
      <c r="O63" s="46"/>
      <c r="P63" s="46"/>
      <c r="U63" s="295" t="s">
        <v>43</v>
      </c>
      <c r="V63" s="295"/>
      <c r="W63" s="315"/>
      <c r="X63" s="316"/>
      <c r="Y63" s="316"/>
      <c r="Z63" s="316"/>
      <c r="AA63" s="317"/>
      <c r="AB63" s="317"/>
      <c r="AC63" s="317"/>
      <c r="AD63" s="317"/>
      <c r="AE63" s="317"/>
      <c r="AF63" s="317"/>
    </row>
    <row r="64" spans="5:46">
      <c r="E64" s="46"/>
      <c r="F64" s="46"/>
      <c r="G64" s="46"/>
      <c r="H64" s="46"/>
      <c r="I64" s="46"/>
      <c r="J64" s="46"/>
      <c r="K64" s="46"/>
      <c r="L64" s="46"/>
      <c r="M64" s="46"/>
      <c r="N64" s="46"/>
      <c r="O64" s="46"/>
      <c r="P64" s="46"/>
      <c r="U64" s="46"/>
      <c r="V64" s="46"/>
      <c r="W64" s="46"/>
      <c r="X64" s="46"/>
      <c r="Y64" s="46"/>
      <c r="Z64" s="46"/>
      <c r="AA64" s="46"/>
      <c r="AB64" s="46"/>
      <c r="AC64" s="46"/>
      <c r="AD64" s="46"/>
      <c r="AE64" s="46"/>
      <c r="AF64" s="46"/>
    </row>
    <row r="65" spans="5:33">
      <c r="E65" s="46"/>
      <c r="F65" s="46"/>
      <c r="G65" s="46"/>
      <c r="H65" s="46"/>
      <c r="I65" s="46"/>
      <c r="J65" s="46"/>
      <c r="K65" s="46"/>
      <c r="L65" s="46"/>
      <c r="M65" s="46"/>
      <c r="N65" s="46"/>
      <c r="O65" s="46"/>
      <c r="P65" s="46"/>
      <c r="U65" s="46"/>
      <c r="V65" s="46"/>
      <c r="W65" s="46"/>
      <c r="X65" s="46"/>
      <c r="Y65" s="46"/>
      <c r="Z65" s="46"/>
      <c r="AA65" s="46"/>
      <c r="AB65" s="46"/>
      <c r="AC65" s="46"/>
      <c r="AD65" s="46"/>
      <c r="AE65" s="46"/>
      <c r="AF65" s="46"/>
    </row>
    <row r="66" spans="5:33">
      <c r="E66" s="46"/>
      <c r="F66" s="46"/>
      <c r="G66" s="46"/>
      <c r="H66" s="46"/>
      <c r="I66" s="46"/>
      <c r="J66" s="46"/>
      <c r="K66" s="46"/>
      <c r="L66" s="46"/>
      <c r="M66" s="46"/>
      <c r="N66" s="46"/>
      <c r="O66" s="46"/>
      <c r="P66" s="46"/>
      <c r="U66" s="46"/>
      <c r="V66" s="46"/>
      <c r="W66" s="46"/>
      <c r="X66" s="46"/>
      <c r="Y66" s="46"/>
      <c r="Z66" s="46"/>
      <c r="AA66" s="46"/>
      <c r="AB66" s="46"/>
      <c r="AC66" s="46"/>
      <c r="AD66" s="46"/>
      <c r="AE66" s="46"/>
      <c r="AF66" s="46"/>
    </row>
    <row r="67" spans="5:33">
      <c r="E67" s="46"/>
      <c r="F67" s="46"/>
      <c r="G67" s="46"/>
      <c r="H67" s="46"/>
      <c r="I67" s="46"/>
      <c r="J67" s="46"/>
      <c r="K67" s="46"/>
      <c r="L67" s="46"/>
      <c r="M67" s="46"/>
      <c r="N67" s="46"/>
      <c r="O67" s="46"/>
      <c r="P67" s="46"/>
      <c r="U67" s="46"/>
      <c r="V67" s="46"/>
      <c r="W67" s="46"/>
      <c r="X67" s="46"/>
      <c r="Y67" s="46"/>
      <c r="Z67" s="46"/>
      <c r="AA67" s="46"/>
      <c r="AB67" s="46"/>
      <c r="AC67" s="46"/>
      <c r="AD67" s="46"/>
      <c r="AE67" s="46"/>
      <c r="AF67" s="46"/>
    </row>
    <row r="68" spans="5:33">
      <c r="E68" s="46"/>
      <c r="F68" s="46"/>
      <c r="G68" s="46"/>
      <c r="H68" s="46"/>
      <c r="I68" s="46"/>
      <c r="J68" s="46"/>
      <c r="K68" s="46"/>
      <c r="L68" s="46"/>
      <c r="M68" s="46"/>
      <c r="N68" s="46"/>
      <c r="O68" s="46"/>
      <c r="P68" s="46"/>
      <c r="U68" s="46"/>
      <c r="V68" s="46"/>
      <c r="W68" s="46"/>
      <c r="X68" s="46"/>
      <c r="Y68" s="46"/>
      <c r="Z68" s="46"/>
      <c r="AA68" s="46"/>
      <c r="AB68" s="46"/>
      <c r="AC68" s="46"/>
      <c r="AD68" s="46"/>
      <c r="AE68" s="46"/>
      <c r="AF68" s="46"/>
    </row>
    <row r="69" spans="5:33">
      <c r="E69" s="46"/>
      <c r="F69" s="46"/>
      <c r="G69" s="46"/>
      <c r="H69" s="46"/>
      <c r="I69" s="46"/>
      <c r="J69" s="46"/>
      <c r="K69" s="46"/>
      <c r="L69" s="46"/>
      <c r="M69" s="46"/>
      <c r="N69" s="46"/>
      <c r="O69" s="46"/>
      <c r="P69" s="46"/>
      <c r="U69" s="46"/>
      <c r="V69" s="46"/>
      <c r="W69" s="46"/>
      <c r="X69" s="46"/>
      <c r="Y69" s="46"/>
      <c r="Z69" s="46"/>
      <c r="AA69" s="46"/>
      <c r="AB69" s="46"/>
      <c r="AC69" s="46"/>
      <c r="AD69" s="46"/>
      <c r="AE69" s="46"/>
      <c r="AF69" s="46"/>
    </row>
    <row r="70" spans="5:33">
      <c r="E70" s="46"/>
      <c r="F70" s="46"/>
      <c r="G70" s="46"/>
      <c r="H70" s="46"/>
      <c r="I70" s="46"/>
      <c r="J70" s="46"/>
      <c r="K70" s="46"/>
      <c r="L70" s="46"/>
      <c r="M70" s="46"/>
      <c r="N70" s="46"/>
      <c r="O70" s="46"/>
      <c r="P70" s="46"/>
      <c r="U70" s="46"/>
      <c r="V70" s="46"/>
      <c r="W70" s="46"/>
      <c r="X70" s="46"/>
      <c r="Y70" s="46"/>
      <c r="Z70" s="46"/>
      <c r="AA70" s="46"/>
      <c r="AB70" s="46"/>
      <c r="AC70" s="46"/>
      <c r="AD70" s="46"/>
      <c r="AE70" s="46"/>
      <c r="AF70" s="46"/>
    </row>
    <row r="71" spans="5:33">
      <c r="E71" s="322"/>
      <c r="F71" s="322"/>
      <c r="G71" s="323"/>
      <c r="H71" s="323"/>
      <c r="I71" s="323"/>
      <c r="J71" s="323"/>
      <c r="K71" s="323"/>
      <c r="L71" s="323"/>
      <c r="M71" s="323"/>
      <c r="N71" s="323"/>
      <c r="O71" s="323"/>
      <c r="P71" s="323"/>
      <c r="U71" s="322"/>
      <c r="V71" s="322"/>
      <c r="W71" s="323"/>
      <c r="X71" s="323"/>
      <c r="Y71" s="323"/>
      <c r="Z71" s="323"/>
      <c r="AA71" s="323"/>
      <c r="AB71" s="323"/>
      <c r="AC71" s="323"/>
      <c r="AD71" s="323"/>
      <c r="AE71" s="323"/>
      <c r="AF71" s="323"/>
    </row>
    <row r="72" spans="5:33">
      <c r="E72" s="318"/>
      <c r="F72" s="318"/>
      <c r="G72" s="321"/>
      <c r="H72" s="321"/>
      <c r="I72" s="321"/>
      <c r="J72" s="321"/>
      <c r="K72" s="321"/>
      <c r="L72" s="321"/>
      <c r="M72" s="321"/>
      <c r="N72" s="321"/>
      <c r="O72" s="321"/>
      <c r="P72" s="321"/>
      <c r="U72" s="318"/>
      <c r="V72" s="318"/>
      <c r="W72" s="321"/>
      <c r="X72" s="321"/>
      <c r="Y72" s="321"/>
      <c r="Z72" s="321"/>
      <c r="AA72" s="321"/>
      <c r="AB72" s="321"/>
      <c r="AC72" s="321"/>
      <c r="AD72" s="321"/>
      <c r="AE72" s="321"/>
      <c r="AF72" s="321"/>
    </row>
    <row r="73" spans="5:33">
      <c r="E73" s="318"/>
      <c r="F73" s="318"/>
      <c r="G73" s="321"/>
      <c r="H73" s="321"/>
      <c r="I73" s="321"/>
      <c r="J73" s="321"/>
      <c r="K73" s="321"/>
      <c r="L73" s="321"/>
      <c r="M73" s="321"/>
      <c r="N73" s="321"/>
      <c r="O73" s="321"/>
      <c r="P73" s="321"/>
      <c r="U73" s="318"/>
      <c r="V73" s="318"/>
      <c r="W73" s="321"/>
      <c r="X73" s="321"/>
      <c r="Y73" s="321"/>
      <c r="Z73" s="321"/>
      <c r="AA73" s="321"/>
      <c r="AB73" s="321"/>
      <c r="AC73" s="321"/>
      <c r="AD73" s="321"/>
      <c r="AE73" s="321"/>
      <c r="AF73" s="321"/>
    </row>
    <row r="74" spans="5:33">
      <c r="E74" s="318"/>
      <c r="F74" s="318"/>
      <c r="G74" s="321"/>
      <c r="H74" s="321"/>
      <c r="I74" s="321"/>
      <c r="J74" s="321"/>
      <c r="K74" s="321"/>
      <c r="L74" s="321"/>
      <c r="M74" s="321"/>
      <c r="N74" s="321"/>
      <c r="O74" s="321"/>
      <c r="P74" s="321"/>
      <c r="U74" s="318"/>
      <c r="V74" s="318"/>
      <c r="W74" s="321"/>
      <c r="X74" s="321"/>
      <c r="Y74" s="321"/>
      <c r="Z74" s="321"/>
      <c r="AA74" s="321"/>
      <c r="AB74" s="321"/>
      <c r="AC74" s="321"/>
      <c r="AD74" s="321"/>
      <c r="AE74" s="321"/>
      <c r="AF74" s="321"/>
    </row>
    <row r="75" spans="5:33">
      <c r="E75" s="318"/>
      <c r="F75" s="318"/>
      <c r="G75" s="319"/>
      <c r="H75" s="320"/>
      <c r="I75" s="320"/>
      <c r="J75" s="320"/>
      <c r="K75" s="321"/>
      <c r="L75" s="321"/>
      <c r="M75" s="321"/>
      <c r="N75" s="321"/>
      <c r="O75" s="321"/>
      <c r="P75" s="321"/>
      <c r="U75" s="318"/>
      <c r="V75" s="318"/>
      <c r="W75" s="319"/>
      <c r="X75" s="320"/>
      <c r="Y75" s="320"/>
      <c r="Z75" s="320"/>
      <c r="AA75" s="321"/>
      <c r="AB75" s="321"/>
      <c r="AC75" s="321"/>
      <c r="AD75" s="321"/>
      <c r="AE75" s="321"/>
      <c r="AF75" s="321"/>
    </row>
    <row r="79" spans="5:33">
      <c r="E79" s="206"/>
      <c r="F79" s="211" t="s">
        <v>44</v>
      </c>
      <c r="G79" s="212"/>
      <c r="H79" s="212"/>
      <c r="I79" s="212"/>
      <c r="J79" s="212"/>
      <c r="K79" s="212"/>
      <c r="L79" s="212"/>
      <c r="M79" s="212"/>
      <c r="N79" s="20"/>
      <c r="O79" s="20"/>
      <c r="P79" s="21"/>
      <c r="V79" s="206"/>
      <c r="W79" s="211" t="s">
        <v>44</v>
      </c>
      <c r="X79" s="212"/>
      <c r="Y79" s="212"/>
      <c r="Z79" s="212"/>
      <c r="AA79" s="212"/>
      <c r="AB79" s="212"/>
      <c r="AC79" s="212"/>
      <c r="AD79" s="212"/>
      <c r="AE79" s="20"/>
      <c r="AF79" s="20"/>
      <c r="AG79" s="21"/>
    </row>
    <row r="80" spans="5:33">
      <c r="E80" s="207"/>
      <c r="F80" s="214"/>
      <c r="G80" s="215"/>
      <c r="H80" s="215"/>
      <c r="I80" s="215"/>
      <c r="J80" s="215"/>
      <c r="K80" s="215"/>
      <c r="L80" s="215"/>
      <c r="M80" s="215"/>
      <c r="P80" s="22"/>
      <c r="V80" s="207"/>
      <c r="W80" s="214"/>
      <c r="X80" s="215"/>
      <c r="Y80" s="215"/>
      <c r="Z80" s="215"/>
      <c r="AA80" s="215"/>
      <c r="AB80" s="215"/>
      <c r="AC80" s="215"/>
      <c r="AD80" s="215"/>
      <c r="AG80" s="22"/>
    </row>
    <row r="81" spans="5:33">
      <c r="E81" s="207"/>
      <c r="F81" s="214"/>
      <c r="G81" s="215"/>
      <c r="H81" s="215"/>
      <c r="I81" s="215"/>
      <c r="J81" s="215"/>
      <c r="K81" s="215"/>
      <c r="L81" s="215"/>
      <c r="M81" s="215"/>
      <c r="P81" s="22"/>
      <c r="V81" s="207"/>
      <c r="W81" s="214"/>
      <c r="X81" s="215"/>
      <c r="Y81" s="215"/>
      <c r="Z81" s="215"/>
      <c r="AA81" s="215"/>
      <c r="AB81" s="215"/>
      <c r="AC81" s="215"/>
      <c r="AD81" s="215"/>
      <c r="AG81" s="22"/>
    </row>
    <row r="82" spans="5:33">
      <c r="E82" s="207"/>
      <c r="F82" s="289"/>
      <c r="G82" s="290"/>
      <c r="H82" s="290"/>
      <c r="I82" s="290"/>
      <c r="J82" s="290"/>
      <c r="K82" s="290"/>
      <c r="L82" s="290"/>
      <c r="M82" s="290"/>
      <c r="P82" s="22"/>
      <c r="V82" s="207"/>
      <c r="W82" s="289"/>
      <c r="X82" s="290"/>
      <c r="Y82" s="290"/>
      <c r="Z82" s="290"/>
      <c r="AA82" s="290"/>
      <c r="AB82" s="290"/>
      <c r="AC82" s="290"/>
      <c r="AD82" s="290"/>
      <c r="AG82" s="22"/>
    </row>
    <row r="83" spans="5:33" ht="16.5">
      <c r="E83" s="223" t="s">
        <v>45</v>
      </c>
      <c r="F83" s="224"/>
      <c r="G83" s="7" t="s">
        <v>46</v>
      </c>
      <c r="H83" s="8"/>
      <c r="I83" s="8"/>
      <c r="J83" s="8"/>
      <c r="K83" s="8"/>
      <c r="L83" s="8"/>
      <c r="M83" s="8"/>
      <c r="N83" s="8"/>
      <c r="O83" s="8"/>
      <c r="P83" s="23"/>
      <c r="V83" s="223" t="s">
        <v>45</v>
      </c>
      <c r="W83" s="224"/>
      <c r="X83" s="7" t="s">
        <v>46</v>
      </c>
      <c r="Y83" s="8"/>
      <c r="Z83" s="8"/>
      <c r="AA83" s="8"/>
      <c r="AB83" s="8"/>
      <c r="AC83" s="8"/>
      <c r="AD83" s="8"/>
      <c r="AE83" s="8"/>
      <c r="AF83" s="8"/>
      <c r="AG83" s="23"/>
    </row>
    <row r="84" spans="5:33" ht="16.5">
      <c r="E84" s="223" t="s">
        <v>48</v>
      </c>
      <c r="F84" s="224"/>
      <c r="G84" s="7" t="s">
        <v>49</v>
      </c>
      <c r="H84" s="8"/>
      <c r="I84" s="8"/>
      <c r="J84" s="8"/>
      <c r="K84" s="8"/>
      <c r="L84" s="8"/>
      <c r="M84" s="8"/>
      <c r="N84" s="8"/>
      <c r="O84" s="8"/>
      <c r="P84" s="23"/>
      <c r="V84" s="223" t="s">
        <v>48</v>
      </c>
      <c r="W84" s="224"/>
      <c r="X84" s="7" t="s">
        <v>49</v>
      </c>
      <c r="Y84" s="8"/>
      <c r="Z84" s="8"/>
      <c r="AA84" s="8"/>
      <c r="AB84" s="8"/>
      <c r="AC84" s="8"/>
      <c r="AD84" s="8"/>
      <c r="AE84" s="8"/>
      <c r="AF84" s="8"/>
      <c r="AG84" s="23"/>
    </row>
    <row r="85" spans="5:33" ht="16.5">
      <c r="E85" s="225" t="s">
        <v>50</v>
      </c>
      <c r="F85" s="226"/>
      <c r="G85" s="7" t="s">
        <v>51</v>
      </c>
      <c r="H85" s="8"/>
      <c r="I85" s="8"/>
      <c r="J85" s="8"/>
      <c r="K85" s="8"/>
      <c r="L85" s="8"/>
      <c r="M85" s="8"/>
      <c r="N85" s="8"/>
      <c r="O85" s="8"/>
      <c r="P85" s="23"/>
      <c r="V85" s="225" t="s">
        <v>50</v>
      </c>
      <c r="W85" s="226"/>
      <c r="X85" s="7" t="s">
        <v>51</v>
      </c>
      <c r="Y85" s="8"/>
      <c r="Z85" s="8"/>
      <c r="AA85" s="8"/>
      <c r="AB85" s="8"/>
      <c r="AC85" s="8"/>
      <c r="AD85" s="8"/>
      <c r="AE85" s="8"/>
      <c r="AF85" s="8"/>
      <c r="AG85" s="23"/>
    </row>
    <row r="86" spans="5:33" ht="16.5">
      <c r="E86" s="223" t="s">
        <v>52</v>
      </c>
      <c r="F86" s="224"/>
      <c r="G86" s="7" t="s">
        <v>53</v>
      </c>
      <c r="H86" s="8"/>
      <c r="I86" s="8"/>
      <c r="J86" s="8"/>
      <c r="K86" s="8"/>
      <c r="L86" s="8"/>
      <c r="M86" s="8"/>
      <c r="N86" s="8"/>
      <c r="O86" s="8"/>
      <c r="P86" s="23"/>
      <c r="V86" s="223" t="s">
        <v>52</v>
      </c>
      <c r="W86" s="224"/>
      <c r="X86" s="7" t="s">
        <v>53</v>
      </c>
      <c r="Y86" s="8"/>
      <c r="Z86" s="8"/>
      <c r="AA86" s="8"/>
      <c r="AB86" s="8"/>
      <c r="AC86" s="8"/>
      <c r="AD86" s="8"/>
      <c r="AE86" s="8"/>
      <c r="AF86" s="8"/>
      <c r="AG86" s="23"/>
    </row>
    <row r="87" spans="5:33" ht="15.75">
      <c r="E87" s="227" t="s">
        <v>998</v>
      </c>
      <c r="F87" s="228"/>
      <c r="G87" s="228"/>
      <c r="H87" s="228"/>
      <c r="I87" s="228"/>
      <c r="J87" s="228"/>
      <c r="K87" s="228"/>
      <c r="L87" s="228"/>
      <c r="M87" s="228"/>
      <c r="N87" s="228"/>
      <c r="O87" s="228"/>
      <c r="P87" s="229"/>
      <c r="V87" s="227" t="s">
        <v>998</v>
      </c>
      <c r="W87" s="228"/>
      <c r="X87" s="228"/>
      <c r="Y87" s="228"/>
      <c r="Z87" s="228"/>
      <c r="AA87" s="228"/>
      <c r="AB87" s="228"/>
      <c r="AC87" s="228"/>
      <c r="AD87" s="228"/>
      <c r="AE87" s="228"/>
      <c r="AF87" s="228"/>
      <c r="AG87" s="229"/>
    </row>
    <row r="88" spans="5:33" ht="15.75">
      <c r="E88" s="11" t="s">
        <v>55</v>
      </c>
      <c r="G88" s="12"/>
      <c r="H88" s="12"/>
      <c r="I88" s="12"/>
      <c r="J88" s="12"/>
      <c r="K88" s="24" t="s">
        <v>56</v>
      </c>
      <c r="L88" s="25"/>
      <c r="M88" s="12"/>
      <c r="N88" s="12"/>
      <c r="O88" s="12"/>
      <c r="P88" s="26"/>
      <c r="V88" s="11" t="s">
        <v>55</v>
      </c>
      <c r="X88" s="12"/>
      <c r="Y88" s="12"/>
      <c r="Z88" s="12"/>
      <c r="AA88" s="12"/>
      <c r="AB88" s="24" t="s">
        <v>56</v>
      </c>
      <c r="AC88" s="25"/>
      <c r="AD88" s="12"/>
      <c r="AE88" s="12"/>
      <c r="AF88" s="12"/>
      <c r="AG88" s="26"/>
    </row>
    <row r="89" spans="5:33">
      <c r="E89" s="217"/>
      <c r="F89" s="218"/>
      <c r="G89" s="218"/>
      <c r="H89" s="218"/>
      <c r="I89" s="218"/>
      <c r="J89" s="218"/>
      <c r="K89" s="218"/>
      <c r="L89" s="218"/>
      <c r="M89" s="218"/>
      <c r="N89" s="218"/>
      <c r="O89" s="218"/>
      <c r="P89" s="219"/>
      <c r="V89" s="217"/>
      <c r="W89" s="218"/>
      <c r="X89" s="218"/>
      <c r="Y89" s="218"/>
      <c r="Z89" s="218"/>
      <c r="AA89" s="218"/>
      <c r="AB89" s="218"/>
      <c r="AC89" s="218"/>
      <c r="AD89" s="218"/>
      <c r="AE89" s="218"/>
      <c r="AF89" s="218"/>
      <c r="AG89" s="219"/>
    </row>
    <row r="90" spans="5:33" ht="15.75">
      <c r="E90" s="15" t="s">
        <v>103</v>
      </c>
      <c r="F90" s="355"/>
      <c r="G90" s="356"/>
      <c r="H90" s="356"/>
      <c r="I90" s="356"/>
      <c r="J90" s="357"/>
      <c r="K90" s="368" t="s">
        <v>542</v>
      </c>
      <c r="L90" s="369"/>
      <c r="M90" s="369"/>
      <c r="N90" s="369"/>
      <c r="O90" s="369"/>
      <c r="P90" s="370"/>
      <c r="V90" s="15" t="s">
        <v>103</v>
      </c>
      <c r="W90" s="355"/>
      <c r="X90" s="356"/>
      <c r="Y90" s="356"/>
      <c r="Z90" s="356"/>
      <c r="AA90" s="357"/>
      <c r="AB90" s="368" t="s">
        <v>542</v>
      </c>
      <c r="AC90" s="369"/>
      <c r="AD90" s="369"/>
      <c r="AE90" s="369"/>
      <c r="AF90" s="369"/>
      <c r="AG90" s="370"/>
    </row>
    <row r="91" spans="5:33">
      <c r="E91" s="329" t="s">
        <v>59</v>
      </c>
      <c r="F91" s="209" t="s">
        <v>60</v>
      </c>
      <c r="G91" s="209" t="s">
        <v>659</v>
      </c>
      <c r="H91" s="209" t="s">
        <v>62</v>
      </c>
      <c r="I91" s="209" t="s">
        <v>63</v>
      </c>
      <c r="J91" s="209" t="s">
        <v>64</v>
      </c>
      <c r="K91" s="209" t="s">
        <v>65</v>
      </c>
      <c r="L91" s="342" t="s">
        <v>66</v>
      </c>
      <c r="M91" s="343"/>
      <c r="N91" s="344"/>
      <c r="O91" s="209" t="s">
        <v>30</v>
      </c>
      <c r="P91" s="328" t="s">
        <v>67</v>
      </c>
      <c r="V91" s="329" t="s">
        <v>59</v>
      </c>
      <c r="W91" s="209" t="s">
        <v>60</v>
      </c>
      <c r="X91" s="209" t="s">
        <v>659</v>
      </c>
      <c r="Y91" s="209" t="s">
        <v>62</v>
      </c>
      <c r="Z91" s="209" t="s">
        <v>63</v>
      </c>
      <c r="AA91" s="209" t="s">
        <v>64</v>
      </c>
      <c r="AB91" s="209" t="s">
        <v>65</v>
      </c>
      <c r="AC91" s="342" t="s">
        <v>66</v>
      </c>
      <c r="AD91" s="343"/>
      <c r="AE91" s="344"/>
      <c r="AF91" s="209" t="s">
        <v>30</v>
      </c>
      <c r="AG91" s="328" t="s">
        <v>67</v>
      </c>
    </row>
    <row r="92" spans="5:33" ht="75">
      <c r="E92" s="359"/>
      <c r="F92" s="292"/>
      <c r="G92" s="292"/>
      <c r="H92" s="292"/>
      <c r="I92" s="292"/>
      <c r="J92" s="292"/>
      <c r="K92" s="292"/>
      <c r="L92" s="17" t="s">
        <v>68</v>
      </c>
      <c r="M92" s="28" t="s">
        <v>999</v>
      </c>
      <c r="N92" s="17" t="s">
        <v>70</v>
      </c>
      <c r="O92" s="292"/>
      <c r="P92" s="360"/>
      <c r="V92" s="359"/>
      <c r="W92" s="292"/>
      <c r="X92" s="292"/>
      <c r="Y92" s="292"/>
      <c r="Z92" s="292"/>
      <c r="AA92" s="292"/>
      <c r="AB92" s="292"/>
      <c r="AC92" s="17" t="s">
        <v>68</v>
      </c>
      <c r="AD92" s="28" t="s">
        <v>69</v>
      </c>
      <c r="AE92" s="17" t="s">
        <v>70</v>
      </c>
      <c r="AF92" s="292"/>
      <c r="AG92" s="360"/>
    </row>
    <row r="93" spans="5:33">
      <c r="E93" s="58">
        <v>1</v>
      </c>
      <c r="F93" s="29" t="s">
        <v>71</v>
      </c>
      <c r="G93" s="29">
        <v>63</v>
      </c>
      <c r="H93" s="29" t="s">
        <v>799</v>
      </c>
      <c r="I93" s="29" t="s">
        <v>789</v>
      </c>
      <c r="J93" s="55">
        <v>90.2</v>
      </c>
      <c r="K93" s="29" t="s">
        <v>276</v>
      </c>
      <c r="L93" s="29">
        <v>3</v>
      </c>
      <c r="M93" s="59">
        <v>3.2</v>
      </c>
      <c r="N93" s="58">
        <v>6.2</v>
      </c>
      <c r="O93" s="16"/>
      <c r="P93" s="16"/>
      <c r="V93" s="29">
        <v>1</v>
      </c>
      <c r="W93" s="29" t="s">
        <v>71</v>
      </c>
      <c r="X93" s="29">
        <v>90</v>
      </c>
      <c r="Y93" s="29" t="s">
        <v>445</v>
      </c>
      <c r="Z93" s="29" t="s">
        <v>234</v>
      </c>
      <c r="AA93" s="55">
        <v>118.4</v>
      </c>
      <c r="AB93" s="29" t="s">
        <v>276</v>
      </c>
      <c r="AC93" s="29">
        <v>3.3</v>
      </c>
      <c r="AD93" s="29">
        <v>1</v>
      </c>
      <c r="AE93" s="29">
        <v>6.2</v>
      </c>
      <c r="AF93" s="29"/>
      <c r="AG93" s="29"/>
    </row>
    <row r="94" spans="5:33">
      <c r="E94" s="58">
        <f>1+E93</f>
        <v>2</v>
      </c>
      <c r="F94" s="29" t="s">
        <v>71</v>
      </c>
      <c r="G94" s="29">
        <v>63</v>
      </c>
      <c r="H94" s="29" t="s">
        <v>224</v>
      </c>
      <c r="I94" s="29" t="s">
        <v>221</v>
      </c>
      <c r="J94" s="55">
        <v>39.4</v>
      </c>
      <c r="K94" s="29" t="s">
        <v>1017</v>
      </c>
      <c r="L94" s="29">
        <v>3</v>
      </c>
      <c r="M94" s="59">
        <v>3.2</v>
      </c>
      <c r="N94" s="58">
        <v>6.2</v>
      </c>
      <c r="O94" s="16"/>
      <c r="P94" s="16"/>
      <c r="V94" s="29">
        <f>1+V93</f>
        <v>2</v>
      </c>
      <c r="W94" s="29" t="s">
        <v>71</v>
      </c>
      <c r="X94" s="29">
        <v>90</v>
      </c>
      <c r="Y94" s="29" t="s">
        <v>445</v>
      </c>
      <c r="Z94" s="29" t="s">
        <v>242</v>
      </c>
      <c r="AA94" s="55">
        <v>113.2</v>
      </c>
      <c r="AB94" s="29" t="s">
        <v>276</v>
      </c>
      <c r="AC94" s="29">
        <v>3.3</v>
      </c>
      <c r="AD94" s="29">
        <v>1</v>
      </c>
      <c r="AE94" s="29">
        <v>6.2</v>
      </c>
      <c r="AF94" s="29"/>
      <c r="AG94" s="29"/>
    </row>
    <row r="95" spans="5:33">
      <c r="E95" s="58">
        <f t="shared" ref="E95:E117" si="3">1+E94</f>
        <v>3</v>
      </c>
      <c r="F95" s="29" t="s">
        <v>71</v>
      </c>
      <c r="G95" s="29">
        <v>63</v>
      </c>
      <c r="H95" s="29" t="s">
        <v>224</v>
      </c>
      <c r="I95" s="29" t="s">
        <v>230</v>
      </c>
      <c r="J95" s="57">
        <v>27.2</v>
      </c>
      <c r="K95" s="29" t="s">
        <v>1018</v>
      </c>
      <c r="L95" s="29">
        <v>3</v>
      </c>
      <c r="M95" s="59">
        <v>3.2</v>
      </c>
      <c r="N95" s="58">
        <v>6.2</v>
      </c>
      <c r="O95" s="16"/>
      <c r="P95" s="16"/>
      <c r="V95" s="29">
        <f t="shared" ref="V95:V120" si="4">1+V94</f>
        <v>3</v>
      </c>
      <c r="W95" s="29" t="s">
        <v>71</v>
      </c>
      <c r="X95" s="29">
        <v>90</v>
      </c>
      <c r="Y95" s="29" t="s">
        <v>798</v>
      </c>
      <c r="Z95" s="29" t="s">
        <v>1000</v>
      </c>
      <c r="AA95" s="55">
        <v>37.6</v>
      </c>
      <c r="AB95" s="29" t="s">
        <v>276</v>
      </c>
      <c r="AC95" s="29">
        <v>3.3</v>
      </c>
      <c r="AD95" s="29">
        <v>1</v>
      </c>
      <c r="AE95" s="29">
        <v>6.2</v>
      </c>
      <c r="AF95" s="29"/>
      <c r="AG95" s="29"/>
    </row>
    <row r="96" spans="5:33">
      <c r="E96" s="58">
        <f t="shared" si="3"/>
        <v>4</v>
      </c>
      <c r="F96" s="29" t="s">
        <v>71</v>
      </c>
      <c r="G96" s="29">
        <v>63</v>
      </c>
      <c r="H96" s="29" t="s">
        <v>195</v>
      </c>
      <c r="I96" s="29" t="s">
        <v>525</v>
      </c>
      <c r="J96" s="55">
        <v>988.3</v>
      </c>
      <c r="K96" s="29" t="s">
        <v>1019</v>
      </c>
      <c r="L96" s="29">
        <v>3</v>
      </c>
      <c r="M96" s="59">
        <v>3.2</v>
      </c>
      <c r="N96" s="58">
        <v>6.2</v>
      </c>
      <c r="O96" s="16"/>
      <c r="P96" s="16"/>
      <c r="V96" s="29">
        <f t="shared" si="4"/>
        <v>4</v>
      </c>
      <c r="W96" s="29" t="s">
        <v>71</v>
      </c>
      <c r="X96" s="29">
        <v>90</v>
      </c>
      <c r="Y96" s="29" t="s">
        <v>798</v>
      </c>
      <c r="Z96" s="29" t="s">
        <v>228</v>
      </c>
      <c r="AA96" s="55">
        <v>43.4</v>
      </c>
      <c r="AB96" s="29" t="s">
        <v>276</v>
      </c>
      <c r="AC96" s="29">
        <v>3.3</v>
      </c>
      <c r="AD96" s="29">
        <v>1</v>
      </c>
      <c r="AE96" s="29">
        <v>6.2</v>
      </c>
      <c r="AF96" s="29"/>
      <c r="AG96" s="29"/>
    </row>
    <row r="97" spans="5:33">
      <c r="E97" s="58">
        <f t="shared" si="3"/>
        <v>5</v>
      </c>
      <c r="F97" s="29" t="s">
        <v>71</v>
      </c>
      <c r="G97" s="29">
        <v>63</v>
      </c>
      <c r="H97" s="29" t="s">
        <v>525</v>
      </c>
      <c r="I97" s="29" t="s">
        <v>764</v>
      </c>
      <c r="J97" s="55">
        <v>236.1</v>
      </c>
      <c r="K97" s="29" t="s">
        <v>276</v>
      </c>
      <c r="L97" s="29">
        <v>3</v>
      </c>
      <c r="M97" s="59">
        <v>3.2</v>
      </c>
      <c r="N97" s="29">
        <v>6.2</v>
      </c>
      <c r="O97" s="29"/>
      <c r="P97" s="29"/>
      <c r="V97" s="29">
        <f t="shared" si="4"/>
        <v>5</v>
      </c>
      <c r="W97" s="29" t="s">
        <v>71</v>
      </c>
      <c r="X97" s="29">
        <v>75</v>
      </c>
      <c r="Y97" s="29" t="s">
        <v>234</v>
      </c>
      <c r="Z97" s="29" t="s">
        <v>127</v>
      </c>
      <c r="AA97" s="55">
        <v>42.5</v>
      </c>
      <c r="AB97" s="29" t="s">
        <v>276</v>
      </c>
      <c r="AC97" s="29">
        <v>3.3</v>
      </c>
      <c r="AD97" s="29">
        <v>1</v>
      </c>
      <c r="AE97" s="29">
        <v>6.2</v>
      </c>
      <c r="AF97" s="29"/>
      <c r="AG97" s="29"/>
    </row>
    <row r="98" spans="5:33">
      <c r="E98" s="58">
        <f t="shared" si="3"/>
        <v>6</v>
      </c>
      <c r="F98" s="29" t="s">
        <v>71</v>
      </c>
      <c r="G98" s="29">
        <v>63</v>
      </c>
      <c r="H98" s="29" t="s">
        <v>525</v>
      </c>
      <c r="I98" s="29" t="s">
        <v>741</v>
      </c>
      <c r="J98" s="55">
        <v>527.1</v>
      </c>
      <c r="K98" s="29" t="s">
        <v>276</v>
      </c>
      <c r="L98" s="29">
        <v>3</v>
      </c>
      <c r="M98" s="59">
        <v>3.2</v>
      </c>
      <c r="N98" s="29">
        <v>6.2</v>
      </c>
      <c r="O98" s="29"/>
      <c r="P98" s="29"/>
      <c r="V98" s="29">
        <f t="shared" si="4"/>
        <v>6</v>
      </c>
      <c r="W98" s="29" t="s">
        <v>71</v>
      </c>
      <c r="X98" s="29">
        <v>75</v>
      </c>
      <c r="Y98" s="29" t="s">
        <v>712</v>
      </c>
      <c r="Z98" s="29" t="s">
        <v>1003</v>
      </c>
      <c r="AA98" s="57">
        <v>58.4</v>
      </c>
      <c r="AB98" s="29" t="s">
        <v>276</v>
      </c>
      <c r="AC98" s="29">
        <v>3.3</v>
      </c>
      <c r="AD98" s="29">
        <v>1</v>
      </c>
      <c r="AE98" s="29">
        <v>6.2</v>
      </c>
      <c r="AF98" s="29"/>
      <c r="AG98" s="29"/>
    </row>
    <row r="99" spans="5:33">
      <c r="E99" s="58">
        <f t="shared" si="3"/>
        <v>7</v>
      </c>
      <c r="F99" s="29" t="s">
        <v>71</v>
      </c>
      <c r="G99" s="29">
        <v>63</v>
      </c>
      <c r="H99" s="29" t="s">
        <v>741</v>
      </c>
      <c r="I99" s="29" t="s">
        <v>1013</v>
      </c>
      <c r="J99" s="55">
        <v>5</v>
      </c>
      <c r="K99" s="29" t="s">
        <v>276</v>
      </c>
      <c r="L99" s="29">
        <v>3</v>
      </c>
      <c r="M99" s="59">
        <v>3.2</v>
      </c>
      <c r="N99" s="29">
        <v>6.2</v>
      </c>
      <c r="O99" s="29"/>
      <c r="P99" s="29"/>
      <c r="V99" s="29">
        <f t="shared" si="4"/>
        <v>7</v>
      </c>
      <c r="W99" s="29" t="s">
        <v>71</v>
      </c>
      <c r="X99" s="29">
        <v>75</v>
      </c>
      <c r="Y99" s="29" t="s">
        <v>1003</v>
      </c>
      <c r="Z99" s="29" t="s">
        <v>798</v>
      </c>
      <c r="AA99" s="57">
        <v>93.5</v>
      </c>
      <c r="AB99" s="29" t="s">
        <v>276</v>
      </c>
      <c r="AC99" s="29">
        <v>3.3</v>
      </c>
      <c r="AD99" s="29">
        <v>1</v>
      </c>
      <c r="AE99" s="29">
        <v>6.2</v>
      </c>
      <c r="AF99" s="29"/>
      <c r="AG99" s="29"/>
    </row>
    <row r="100" spans="5:33">
      <c r="E100" s="58">
        <f t="shared" si="3"/>
        <v>8</v>
      </c>
      <c r="F100" s="29" t="s">
        <v>71</v>
      </c>
      <c r="G100" s="29">
        <v>63</v>
      </c>
      <c r="H100" s="29" t="s">
        <v>741</v>
      </c>
      <c r="I100" s="29" t="s">
        <v>1013</v>
      </c>
      <c r="J100" s="55">
        <v>222.6</v>
      </c>
      <c r="K100" s="29" t="s">
        <v>276</v>
      </c>
      <c r="L100" s="29">
        <v>3</v>
      </c>
      <c r="M100" s="59">
        <v>3.2</v>
      </c>
      <c r="N100" s="29">
        <v>6.2</v>
      </c>
      <c r="O100" s="29"/>
      <c r="P100" s="29"/>
      <c r="V100" s="29">
        <f t="shared" si="4"/>
        <v>8</v>
      </c>
      <c r="W100" s="29" t="s">
        <v>71</v>
      </c>
      <c r="X100" s="29">
        <v>75</v>
      </c>
      <c r="Y100" s="29" t="s">
        <v>1006</v>
      </c>
      <c r="Z100" s="29" t="s">
        <v>743</v>
      </c>
      <c r="AA100" s="55">
        <v>23.2</v>
      </c>
      <c r="AB100" s="29" t="s">
        <v>276</v>
      </c>
      <c r="AC100" s="29">
        <v>3.3</v>
      </c>
      <c r="AD100" s="29">
        <v>1</v>
      </c>
      <c r="AE100" s="29">
        <v>6.2</v>
      </c>
      <c r="AF100" s="29"/>
      <c r="AG100" s="29"/>
    </row>
    <row r="101" spans="5:33">
      <c r="E101" s="58">
        <f t="shared" si="3"/>
        <v>9</v>
      </c>
      <c r="F101" s="29" t="s">
        <v>71</v>
      </c>
      <c r="G101" s="29">
        <v>63</v>
      </c>
      <c r="H101" s="29" t="s">
        <v>1013</v>
      </c>
      <c r="I101" s="29" t="s">
        <v>781</v>
      </c>
      <c r="J101" s="55">
        <v>122.7</v>
      </c>
      <c r="K101" s="29" t="s">
        <v>276</v>
      </c>
      <c r="L101" s="29">
        <v>3</v>
      </c>
      <c r="M101" s="59">
        <v>3.2</v>
      </c>
      <c r="N101" s="29">
        <v>6.2</v>
      </c>
      <c r="O101" s="29"/>
      <c r="P101" s="29"/>
      <c r="V101" s="29">
        <f t="shared" si="4"/>
        <v>9</v>
      </c>
      <c r="W101" s="29" t="s">
        <v>71</v>
      </c>
      <c r="X101" s="29">
        <v>75</v>
      </c>
      <c r="Y101" s="29" t="s">
        <v>712</v>
      </c>
      <c r="Z101" s="29" t="s">
        <v>798</v>
      </c>
      <c r="AA101" s="55">
        <v>3.4</v>
      </c>
      <c r="AB101" s="29" t="s">
        <v>276</v>
      </c>
      <c r="AC101" s="29">
        <v>3.3</v>
      </c>
      <c r="AD101" s="29">
        <v>1</v>
      </c>
      <c r="AE101" s="29">
        <v>6.2</v>
      </c>
      <c r="AF101" s="29"/>
      <c r="AG101" s="29"/>
    </row>
    <row r="102" spans="5:33">
      <c r="E102" s="58">
        <f t="shared" si="3"/>
        <v>10</v>
      </c>
      <c r="F102" s="29" t="s">
        <v>71</v>
      </c>
      <c r="G102" s="29">
        <v>63</v>
      </c>
      <c r="H102" s="29" t="s">
        <v>623</v>
      </c>
      <c r="I102" s="29" t="s">
        <v>1020</v>
      </c>
      <c r="J102" s="55">
        <v>3.8</v>
      </c>
      <c r="K102" s="29" t="s">
        <v>276</v>
      </c>
      <c r="L102" s="29">
        <v>3</v>
      </c>
      <c r="M102" s="59">
        <v>3.2</v>
      </c>
      <c r="N102" s="29">
        <v>6.2</v>
      </c>
      <c r="O102" s="29"/>
      <c r="P102" s="29"/>
      <c r="V102" s="29">
        <f t="shared" si="4"/>
        <v>10</v>
      </c>
      <c r="W102" s="29" t="s">
        <v>71</v>
      </c>
      <c r="X102" s="29">
        <v>75</v>
      </c>
      <c r="Y102" s="29" t="s">
        <v>234</v>
      </c>
      <c r="Z102" s="29" t="s">
        <v>238</v>
      </c>
      <c r="AA102" s="55">
        <v>68.2</v>
      </c>
      <c r="AB102" s="29" t="s">
        <v>276</v>
      </c>
      <c r="AC102" s="29">
        <v>3.3</v>
      </c>
      <c r="AD102" s="29">
        <v>1</v>
      </c>
      <c r="AE102" s="29">
        <v>6.2</v>
      </c>
      <c r="AF102" s="29"/>
      <c r="AG102" s="29"/>
    </row>
    <row r="103" spans="5:33">
      <c r="E103" s="58">
        <f t="shared" si="3"/>
        <v>11</v>
      </c>
      <c r="F103" s="29" t="s">
        <v>71</v>
      </c>
      <c r="G103" s="29">
        <v>63</v>
      </c>
      <c r="H103" s="29" t="s">
        <v>623</v>
      </c>
      <c r="I103" s="29" t="s">
        <v>1020</v>
      </c>
      <c r="J103" s="55">
        <v>112.2</v>
      </c>
      <c r="K103" s="29" t="s">
        <v>276</v>
      </c>
      <c r="L103" s="29">
        <v>3</v>
      </c>
      <c r="M103" s="59">
        <v>3.2</v>
      </c>
      <c r="N103" s="29">
        <v>6.2</v>
      </c>
      <c r="O103" s="29"/>
      <c r="P103" s="29"/>
      <c r="V103" s="29">
        <f t="shared" si="4"/>
        <v>11</v>
      </c>
      <c r="W103" s="29" t="s">
        <v>71</v>
      </c>
      <c r="X103" s="29">
        <v>75</v>
      </c>
      <c r="Y103" s="29" t="s">
        <v>234</v>
      </c>
      <c r="Z103" s="29" t="s">
        <v>127</v>
      </c>
      <c r="AA103" s="55">
        <v>3.3</v>
      </c>
      <c r="AB103" s="29" t="s">
        <v>276</v>
      </c>
      <c r="AC103" s="29">
        <v>3.3</v>
      </c>
      <c r="AD103" s="29">
        <v>1</v>
      </c>
      <c r="AE103" s="29">
        <v>6.2</v>
      </c>
      <c r="AF103" s="29"/>
      <c r="AG103" s="29"/>
    </row>
    <row r="104" spans="5:33">
      <c r="E104" s="58">
        <f t="shared" si="3"/>
        <v>12</v>
      </c>
      <c r="F104" s="29" t="s">
        <v>71</v>
      </c>
      <c r="G104" s="29">
        <v>63</v>
      </c>
      <c r="H104" s="29" t="s">
        <v>807</v>
      </c>
      <c r="I104" s="29" t="s">
        <v>1021</v>
      </c>
      <c r="J104" s="55">
        <v>34.6</v>
      </c>
      <c r="K104" s="29" t="s">
        <v>276</v>
      </c>
      <c r="L104" s="29">
        <v>3</v>
      </c>
      <c r="M104" s="59">
        <v>3.2</v>
      </c>
      <c r="N104" s="29">
        <v>6.2</v>
      </c>
      <c r="O104" s="29"/>
      <c r="P104" s="29"/>
      <c r="V104" s="29">
        <f t="shared" si="4"/>
        <v>12</v>
      </c>
      <c r="W104" s="29" t="s">
        <v>71</v>
      </c>
      <c r="X104" s="29">
        <v>75</v>
      </c>
      <c r="Y104" s="29" t="s">
        <v>234</v>
      </c>
      <c r="Z104" s="29" t="s">
        <v>127</v>
      </c>
      <c r="AA104" s="55">
        <v>100</v>
      </c>
      <c r="AB104" s="29" t="s">
        <v>276</v>
      </c>
      <c r="AC104" s="29">
        <v>3.3</v>
      </c>
      <c r="AD104" s="29">
        <v>1</v>
      </c>
      <c r="AE104" s="29">
        <v>6.2</v>
      </c>
      <c r="AF104" s="29"/>
      <c r="AG104" s="29"/>
    </row>
    <row r="105" spans="5:33">
      <c r="E105" s="58">
        <f t="shared" si="3"/>
        <v>13</v>
      </c>
      <c r="F105" s="29" t="s">
        <v>71</v>
      </c>
      <c r="G105" s="29">
        <v>63</v>
      </c>
      <c r="H105" s="29" t="s">
        <v>807</v>
      </c>
      <c r="I105" s="29" t="s">
        <v>744</v>
      </c>
      <c r="J105" s="55">
        <v>20</v>
      </c>
      <c r="K105" s="29" t="s">
        <v>276</v>
      </c>
      <c r="L105" s="29">
        <v>3</v>
      </c>
      <c r="M105" s="59">
        <v>3.2</v>
      </c>
      <c r="N105" s="29">
        <v>6.2</v>
      </c>
      <c r="O105" s="29"/>
      <c r="P105" s="29"/>
      <c r="V105" s="29">
        <f t="shared" si="4"/>
        <v>13</v>
      </c>
      <c r="W105" s="29" t="s">
        <v>71</v>
      </c>
      <c r="X105" s="29">
        <v>75</v>
      </c>
      <c r="Y105" s="29" t="s">
        <v>1004</v>
      </c>
      <c r="Z105" s="29" t="s">
        <v>807</v>
      </c>
      <c r="AA105" s="55">
        <v>168.7</v>
      </c>
      <c r="AB105" s="29" t="s">
        <v>276</v>
      </c>
      <c r="AC105" s="29">
        <v>3.3</v>
      </c>
      <c r="AD105" s="29">
        <v>1</v>
      </c>
      <c r="AE105" s="29">
        <v>6.2</v>
      </c>
      <c r="AF105" s="29"/>
      <c r="AG105" s="29"/>
    </row>
    <row r="106" spans="5:33">
      <c r="E106" s="58">
        <f t="shared" si="3"/>
        <v>14</v>
      </c>
      <c r="F106" s="29" t="s">
        <v>71</v>
      </c>
      <c r="G106" s="29">
        <v>63</v>
      </c>
      <c r="H106" s="29" t="s">
        <v>807</v>
      </c>
      <c r="I106" s="29" t="s">
        <v>995</v>
      </c>
      <c r="J106" s="55">
        <v>4</v>
      </c>
      <c r="K106" s="29" t="s">
        <v>276</v>
      </c>
      <c r="L106" s="29">
        <v>3</v>
      </c>
      <c r="M106" s="59">
        <v>3.2</v>
      </c>
      <c r="N106" s="29">
        <v>6.2</v>
      </c>
      <c r="O106" s="29"/>
      <c r="P106" s="29"/>
      <c r="V106" s="29">
        <f t="shared" si="4"/>
        <v>14</v>
      </c>
      <c r="W106" s="29" t="s">
        <v>71</v>
      </c>
      <c r="X106" s="29">
        <v>75</v>
      </c>
      <c r="Y106" s="29" t="s">
        <v>1004</v>
      </c>
      <c r="Z106" s="29" t="s">
        <v>994</v>
      </c>
      <c r="AA106" s="55">
        <v>4.5</v>
      </c>
      <c r="AB106" s="29" t="s">
        <v>276</v>
      </c>
      <c r="AC106" s="29">
        <v>3.3</v>
      </c>
      <c r="AD106" s="29">
        <v>1</v>
      </c>
      <c r="AE106" s="29">
        <v>6.2</v>
      </c>
      <c r="AF106" s="29"/>
      <c r="AG106" s="29"/>
    </row>
    <row r="107" spans="5:33">
      <c r="E107" s="58">
        <f t="shared" si="3"/>
        <v>15</v>
      </c>
      <c r="F107" s="29" t="s">
        <v>71</v>
      </c>
      <c r="G107" s="29">
        <v>63</v>
      </c>
      <c r="H107" s="29" t="s">
        <v>807</v>
      </c>
      <c r="I107" s="29" t="s">
        <v>995</v>
      </c>
      <c r="J107" s="55">
        <v>261.10000000000002</v>
      </c>
      <c r="K107" s="29" t="s">
        <v>276</v>
      </c>
      <c r="L107" s="29">
        <v>3</v>
      </c>
      <c r="M107" s="59">
        <v>3.2</v>
      </c>
      <c r="N107" s="29">
        <v>6.2</v>
      </c>
      <c r="O107" s="29"/>
      <c r="P107" s="29"/>
      <c r="V107" s="29">
        <f t="shared" si="4"/>
        <v>15</v>
      </c>
      <c r="W107" s="29" t="s">
        <v>71</v>
      </c>
      <c r="X107" s="29">
        <v>75</v>
      </c>
      <c r="Y107" s="29" t="s">
        <v>1007</v>
      </c>
      <c r="Z107" s="29" t="s">
        <v>743</v>
      </c>
      <c r="AA107" s="55">
        <v>386.3</v>
      </c>
      <c r="AB107" s="29" t="s">
        <v>276</v>
      </c>
      <c r="AC107" s="29">
        <v>3.3</v>
      </c>
      <c r="AD107" s="29">
        <v>1</v>
      </c>
      <c r="AE107" s="29">
        <v>6.2</v>
      </c>
      <c r="AF107" s="29"/>
      <c r="AG107" s="29"/>
    </row>
    <row r="108" spans="5:33">
      <c r="E108" s="58">
        <f t="shared" si="3"/>
        <v>16</v>
      </c>
      <c r="F108" s="29" t="s">
        <v>71</v>
      </c>
      <c r="G108" s="29">
        <v>63</v>
      </c>
      <c r="H108" s="29" t="s">
        <v>995</v>
      </c>
      <c r="I108" s="29" t="s">
        <v>1022</v>
      </c>
      <c r="J108" s="55">
        <v>28.7</v>
      </c>
      <c r="K108" s="29" t="s">
        <v>276</v>
      </c>
      <c r="L108" s="29">
        <v>3</v>
      </c>
      <c r="M108" s="59">
        <v>3.2</v>
      </c>
      <c r="N108" s="29">
        <v>6.2</v>
      </c>
      <c r="O108" s="29"/>
      <c r="P108" s="29"/>
      <c r="V108" s="29">
        <f t="shared" si="4"/>
        <v>16</v>
      </c>
      <c r="W108" s="29" t="s">
        <v>71</v>
      </c>
      <c r="X108" s="29">
        <v>63</v>
      </c>
      <c r="Y108" s="29" t="s">
        <v>684</v>
      </c>
      <c r="Z108" s="29" t="s">
        <v>761</v>
      </c>
      <c r="AA108" s="55">
        <v>162.6</v>
      </c>
      <c r="AB108" s="29" t="s">
        <v>276</v>
      </c>
      <c r="AC108" s="29">
        <v>3.3</v>
      </c>
      <c r="AD108" s="29">
        <v>1</v>
      </c>
      <c r="AE108" s="29">
        <v>6.2</v>
      </c>
      <c r="AF108" s="29"/>
      <c r="AG108" s="29"/>
    </row>
    <row r="109" spans="5:33">
      <c r="E109" s="58">
        <f t="shared" si="3"/>
        <v>17</v>
      </c>
      <c r="F109" s="29" t="s">
        <v>71</v>
      </c>
      <c r="G109" s="29">
        <v>63</v>
      </c>
      <c r="H109" s="29" t="s">
        <v>755</v>
      </c>
      <c r="I109" s="29" t="s">
        <v>995</v>
      </c>
      <c r="J109" s="55">
        <v>112.7</v>
      </c>
      <c r="K109" s="29" t="s">
        <v>276</v>
      </c>
      <c r="L109" s="29">
        <v>3</v>
      </c>
      <c r="M109" s="59">
        <v>3.2</v>
      </c>
      <c r="N109" s="29">
        <v>6.2</v>
      </c>
      <c r="O109" s="29"/>
      <c r="P109" s="29"/>
      <c r="V109" s="29">
        <f t="shared" si="4"/>
        <v>17</v>
      </c>
      <c r="W109" s="29" t="s">
        <v>71</v>
      </c>
      <c r="X109" s="29">
        <v>63</v>
      </c>
      <c r="Y109" s="29" t="s">
        <v>684</v>
      </c>
      <c r="Z109" s="29" t="s">
        <v>761</v>
      </c>
      <c r="AA109" s="55">
        <v>18</v>
      </c>
      <c r="AB109" s="29" t="s">
        <v>276</v>
      </c>
      <c r="AC109" s="29">
        <v>3.3</v>
      </c>
      <c r="AD109" s="29">
        <v>1</v>
      </c>
      <c r="AE109" s="29">
        <v>6.2</v>
      </c>
      <c r="AF109" s="29"/>
      <c r="AG109" s="29"/>
    </row>
    <row r="110" spans="5:33">
      <c r="E110" s="58">
        <f t="shared" si="3"/>
        <v>18</v>
      </c>
      <c r="F110" s="29" t="s">
        <v>71</v>
      </c>
      <c r="G110" s="29">
        <v>63</v>
      </c>
      <c r="H110" s="29" t="s">
        <v>755</v>
      </c>
      <c r="I110" s="29" t="s">
        <v>778</v>
      </c>
      <c r="J110" s="55">
        <v>104.2</v>
      </c>
      <c r="K110" s="29" t="s">
        <v>276</v>
      </c>
      <c r="L110" s="29">
        <v>3</v>
      </c>
      <c r="M110" s="59">
        <v>3.2</v>
      </c>
      <c r="N110" s="29">
        <v>6.2</v>
      </c>
      <c r="O110" s="29"/>
      <c r="P110" s="29"/>
      <c r="V110" s="29">
        <f t="shared" si="4"/>
        <v>18</v>
      </c>
      <c r="W110" s="29" t="s">
        <v>71</v>
      </c>
      <c r="X110" s="29">
        <v>63</v>
      </c>
      <c r="Y110" s="29" t="s">
        <v>781</v>
      </c>
      <c r="Z110" s="29" t="s">
        <v>655</v>
      </c>
      <c r="AA110" s="55">
        <v>92.9</v>
      </c>
      <c r="AB110" s="29" t="s">
        <v>276</v>
      </c>
      <c r="AC110" s="29">
        <v>3.3</v>
      </c>
      <c r="AD110" s="29">
        <v>1</v>
      </c>
      <c r="AE110" s="29">
        <v>6.2</v>
      </c>
      <c r="AF110" s="29"/>
      <c r="AG110" s="29"/>
    </row>
    <row r="111" spans="5:33">
      <c r="E111" s="58">
        <f t="shared" si="3"/>
        <v>19</v>
      </c>
      <c r="F111" s="29" t="s">
        <v>71</v>
      </c>
      <c r="G111" s="29">
        <v>63</v>
      </c>
      <c r="H111" s="29" t="s">
        <v>755</v>
      </c>
      <c r="I111" s="29" t="s">
        <v>787</v>
      </c>
      <c r="J111" s="55">
        <v>172.8</v>
      </c>
      <c r="K111" s="29" t="s">
        <v>276</v>
      </c>
      <c r="L111" s="29">
        <v>3</v>
      </c>
      <c r="M111" s="59">
        <v>3.2</v>
      </c>
      <c r="N111" s="29">
        <v>6.2</v>
      </c>
      <c r="O111" s="29"/>
      <c r="P111" s="29"/>
      <c r="V111" s="29">
        <f t="shared" si="4"/>
        <v>19</v>
      </c>
      <c r="W111" s="29" t="s">
        <v>71</v>
      </c>
      <c r="X111" s="29">
        <v>63</v>
      </c>
      <c r="Y111" s="29" t="s">
        <v>655</v>
      </c>
      <c r="Z111" s="29" t="s">
        <v>1010</v>
      </c>
      <c r="AA111" s="55">
        <v>28.6</v>
      </c>
      <c r="AB111" s="29" t="s">
        <v>276</v>
      </c>
      <c r="AC111" s="29">
        <v>3.3</v>
      </c>
      <c r="AD111" s="29">
        <v>1</v>
      </c>
      <c r="AE111" s="29">
        <v>6.2</v>
      </c>
      <c r="AF111" s="29"/>
      <c r="AG111" s="29"/>
    </row>
    <row r="112" spans="5:33">
      <c r="E112" s="58">
        <f t="shared" si="3"/>
        <v>20</v>
      </c>
      <c r="F112" s="29" t="s">
        <v>71</v>
      </c>
      <c r="G112" s="29">
        <v>63</v>
      </c>
      <c r="H112" s="29" t="s">
        <v>1021</v>
      </c>
      <c r="I112" s="29" t="s">
        <v>1023</v>
      </c>
      <c r="J112" s="55">
        <v>52.1</v>
      </c>
      <c r="K112" s="29" t="s">
        <v>276</v>
      </c>
      <c r="L112" s="29">
        <v>3</v>
      </c>
      <c r="M112" s="59">
        <v>3.2</v>
      </c>
      <c r="N112" s="29">
        <v>6.2</v>
      </c>
      <c r="O112" s="29"/>
      <c r="P112" s="29"/>
      <c r="V112" s="29">
        <f t="shared" si="4"/>
        <v>20</v>
      </c>
      <c r="W112" s="29" t="s">
        <v>71</v>
      </c>
      <c r="X112" s="29">
        <v>63</v>
      </c>
      <c r="Y112" s="29" t="s">
        <v>1010</v>
      </c>
      <c r="Z112" s="29" t="s">
        <v>571</v>
      </c>
      <c r="AA112" s="55">
        <v>20.9</v>
      </c>
      <c r="AB112" s="29" t="s">
        <v>276</v>
      </c>
      <c r="AC112" s="29">
        <v>3.3</v>
      </c>
      <c r="AD112" s="29">
        <v>1</v>
      </c>
      <c r="AE112" s="29">
        <v>6.2</v>
      </c>
      <c r="AF112" s="29"/>
      <c r="AG112" s="29"/>
    </row>
    <row r="113" spans="5:33">
      <c r="E113" s="58">
        <f t="shared" si="3"/>
        <v>21</v>
      </c>
      <c r="F113" s="29" t="s">
        <v>71</v>
      </c>
      <c r="G113" s="29">
        <v>63</v>
      </c>
      <c r="H113" s="29" t="s">
        <v>1023</v>
      </c>
      <c r="I113" s="29" t="s">
        <v>1024</v>
      </c>
      <c r="J113" s="55">
        <v>9.3000000000000007</v>
      </c>
      <c r="K113" s="29" t="s">
        <v>276</v>
      </c>
      <c r="L113" s="29">
        <v>3</v>
      </c>
      <c r="M113" s="59">
        <v>3.2</v>
      </c>
      <c r="N113" s="29">
        <v>6.2</v>
      </c>
      <c r="O113" s="29"/>
      <c r="P113" s="29"/>
      <c r="V113" s="29">
        <f t="shared" si="4"/>
        <v>21</v>
      </c>
      <c r="W113" s="29" t="s">
        <v>71</v>
      </c>
      <c r="X113" s="29">
        <v>63</v>
      </c>
      <c r="Y113" s="29" t="s">
        <v>1010</v>
      </c>
      <c r="Z113" s="29" t="s">
        <v>1012</v>
      </c>
      <c r="AA113" s="55">
        <v>40.700000000000003</v>
      </c>
      <c r="AB113" s="29" t="s">
        <v>276</v>
      </c>
      <c r="AC113" s="29">
        <v>3.3</v>
      </c>
      <c r="AD113" s="29">
        <v>1</v>
      </c>
      <c r="AE113" s="29">
        <v>6.2</v>
      </c>
      <c r="AF113" s="29"/>
      <c r="AG113" s="29"/>
    </row>
    <row r="114" spans="5:33">
      <c r="E114" s="58">
        <f t="shared" si="3"/>
        <v>22</v>
      </c>
      <c r="F114" s="29" t="s">
        <v>71</v>
      </c>
      <c r="G114" s="29">
        <v>63</v>
      </c>
      <c r="H114" s="29" t="s">
        <v>1023</v>
      </c>
      <c r="I114" s="29" t="s">
        <v>643</v>
      </c>
      <c r="J114" s="55">
        <v>50</v>
      </c>
      <c r="K114" s="29" t="s">
        <v>276</v>
      </c>
      <c r="L114" s="29">
        <v>3</v>
      </c>
      <c r="M114" s="59">
        <v>3.2</v>
      </c>
      <c r="N114" s="29">
        <v>6.2</v>
      </c>
      <c r="O114" s="29"/>
      <c r="P114" s="29"/>
      <c r="V114" s="29">
        <f t="shared" si="4"/>
        <v>22</v>
      </c>
      <c r="W114" s="29" t="s">
        <v>71</v>
      </c>
      <c r="X114" s="29">
        <v>63</v>
      </c>
      <c r="Y114" s="29" t="s">
        <v>655</v>
      </c>
      <c r="Z114" s="29" t="s">
        <v>1013</v>
      </c>
      <c r="AA114" s="55">
        <v>93.1</v>
      </c>
      <c r="AB114" s="29" t="s">
        <v>276</v>
      </c>
      <c r="AC114" s="29">
        <v>3.3</v>
      </c>
      <c r="AD114" s="29">
        <v>1</v>
      </c>
      <c r="AE114" s="29">
        <v>6.2</v>
      </c>
      <c r="AF114" s="29"/>
      <c r="AG114" s="29"/>
    </row>
    <row r="115" spans="5:33">
      <c r="E115" s="58">
        <f t="shared" si="3"/>
        <v>23</v>
      </c>
      <c r="F115" s="29" t="s">
        <v>71</v>
      </c>
      <c r="G115" s="29">
        <v>63</v>
      </c>
      <c r="H115" s="29" t="s">
        <v>738</v>
      </c>
      <c r="I115" s="29" t="s">
        <v>728</v>
      </c>
      <c r="J115" s="55">
        <v>90.1</v>
      </c>
      <c r="K115" s="29" t="s">
        <v>276</v>
      </c>
      <c r="L115" s="29">
        <v>3</v>
      </c>
      <c r="M115" s="59">
        <v>3.2</v>
      </c>
      <c r="N115" s="29">
        <v>6.2</v>
      </c>
      <c r="O115" s="29"/>
      <c r="P115" s="29"/>
      <c r="V115" s="29">
        <f t="shared" si="4"/>
        <v>23</v>
      </c>
      <c r="W115" s="29" t="s">
        <v>71</v>
      </c>
      <c r="X115" s="29">
        <v>63</v>
      </c>
      <c r="Y115" s="29" t="s">
        <v>655</v>
      </c>
      <c r="Z115" s="29" t="s">
        <v>1013</v>
      </c>
      <c r="AA115" s="55">
        <v>178.7</v>
      </c>
      <c r="AB115" s="29" t="s">
        <v>276</v>
      </c>
      <c r="AC115" s="29">
        <v>3.3</v>
      </c>
      <c r="AD115" s="29">
        <v>1</v>
      </c>
      <c r="AE115" s="29">
        <v>6.2</v>
      </c>
      <c r="AF115" s="29"/>
      <c r="AG115" s="29"/>
    </row>
    <row r="116" spans="5:33">
      <c r="E116" s="58">
        <f t="shared" si="3"/>
        <v>24</v>
      </c>
      <c r="F116" s="29" t="s">
        <v>71</v>
      </c>
      <c r="G116" s="29">
        <v>63</v>
      </c>
      <c r="H116" s="29" t="s">
        <v>1004</v>
      </c>
      <c r="I116" s="29" t="s">
        <v>994</v>
      </c>
      <c r="J116" s="55">
        <v>96.8</v>
      </c>
      <c r="K116" s="29" t="s">
        <v>276</v>
      </c>
      <c r="L116" s="29">
        <v>3</v>
      </c>
      <c r="M116" s="59">
        <v>3.2</v>
      </c>
      <c r="N116" s="29">
        <v>6.2</v>
      </c>
      <c r="O116" s="29"/>
      <c r="P116" s="29"/>
      <c r="V116" s="29">
        <f t="shared" si="4"/>
        <v>24</v>
      </c>
      <c r="W116" s="29" t="s">
        <v>71</v>
      </c>
      <c r="X116" s="29">
        <v>63</v>
      </c>
      <c r="Y116" s="29" t="s">
        <v>655</v>
      </c>
      <c r="Z116" s="29" t="s">
        <v>1013</v>
      </c>
      <c r="AA116" s="55">
        <v>95.4</v>
      </c>
      <c r="AB116" s="29" t="s">
        <v>276</v>
      </c>
      <c r="AC116" s="29">
        <v>3.3</v>
      </c>
      <c r="AD116" s="29">
        <v>1</v>
      </c>
      <c r="AE116" s="29">
        <v>6.2</v>
      </c>
      <c r="AF116" s="29"/>
      <c r="AG116" s="29"/>
    </row>
    <row r="117" spans="5:33">
      <c r="E117" s="58">
        <f t="shared" si="3"/>
        <v>25</v>
      </c>
      <c r="F117" s="29" t="s">
        <v>71</v>
      </c>
      <c r="G117" s="29">
        <v>63</v>
      </c>
      <c r="H117" s="29" t="s">
        <v>663</v>
      </c>
      <c r="I117" s="29" t="s">
        <v>164</v>
      </c>
      <c r="J117" s="55">
        <v>206.1</v>
      </c>
      <c r="K117" s="29" t="s">
        <v>276</v>
      </c>
      <c r="L117" s="29">
        <v>3</v>
      </c>
      <c r="M117" s="59">
        <v>3.2</v>
      </c>
      <c r="N117" s="29">
        <v>6.2</v>
      </c>
      <c r="O117" s="29"/>
      <c r="P117" s="29"/>
      <c r="V117" s="29">
        <f t="shared" si="4"/>
        <v>25</v>
      </c>
      <c r="W117" s="29" t="s">
        <v>71</v>
      </c>
      <c r="X117" s="29">
        <v>63</v>
      </c>
      <c r="Y117" s="29" t="s">
        <v>655</v>
      </c>
      <c r="Z117" s="29" t="s">
        <v>1013</v>
      </c>
      <c r="AA117" s="55">
        <v>5.4</v>
      </c>
      <c r="AB117" s="29" t="s">
        <v>276</v>
      </c>
      <c r="AC117" s="29">
        <v>3.3</v>
      </c>
      <c r="AD117" s="29">
        <v>1</v>
      </c>
      <c r="AE117" s="29">
        <v>6.2</v>
      </c>
      <c r="AF117" s="29"/>
      <c r="AG117" s="29"/>
    </row>
    <row r="118" spans="5:33">
      <c r="E118" s="16"/>
      <c r="F118" s="29"/>
      <c r="G118" s="29"/>
      <c r="H118" s="29"/>
      <c r="I118" s="29"/>
      <c r="J118" s="55"/>
      <c r="K118" s="29"/>
      <c r="L118" s="29"/>
      <c r="M118" s="29"/>
      <c r="N118" s="29"/>
      <c r="O118" s="29"/>
      <c r="P118" s="29"/>
      <c r="V118" s="29">
        <f t="shared" si="4"/>
        <v>26</v>
      </c>
      <c r="W118" s="29" t="s">
        <v>71</v>
      </c>
      <c r="X118" s="29">
        <v>63</v>
      </c>
      <c r="Y118" s="29" t="s">
        <v>741</v>
      </c>
      <c r="Z118" s="29" t="s">
        <v>795</v>
      </c>
      <c r="AA118" s="55">
        <v>151.4</v>
      </c>
      <c r="AB118" s="29" t="s">
        <v>276</v>
      </c>
      <c r="AC118" s="29">
        <v>3.3</v>
      </c>
      <c r="AD118" s="29">
        <v>1</v>
      </c>
      <c r="AE118" s="29">
        <v>6.2</v>
      </c>
      <c r="AF118" s="29"/>
      <c r="AG118" s="29"/>
    </row>
    <row r="119" spans="5:33">
      <c r="E119" s="324"/>
      <c r="F119" s="324"/>
      <c r="G119" s="325" t="s">
        <v>86</v>
      </c>
      <c r="H119" s="325"/>
      <c r="I119" s="325"/>
      <c r="J119" s="325"/>
      <c r="K119" s="325" t="s">
        <v>87</v>
      </c>
      <c r="L119" s="325"/>
      <c r="M119" s="325"/>
      <c r="N119" s="325" t="s">
        <v>39</v>
      </c>
      <c r="O119" s="325"/>
      <c r="P119" s="325"/>
      <c r="V119" s="29">
        <f t="shared" si="4"/>
        <v>27</v>
      </c>
      <c r="W119" s="29" t="s">
        <v>71</v>
      </c>
      <c r="X119" s="29">
        <v>63</v>
      </c>
      <c r="Y119" s="29" t="s">
        <v>158</v>
      </c>
      <c r="Z119" s="29" t="s">
        <v>172</v>
      </c>
      <c r="AA119" s="55">
        <v>185.6</v>
      </c>
      <c r="AB119" s="29" t="s">
        <v>276</v>
      </c>
      <c r="AC119" s="29">
        <v>3.3</v>
      </c>
      <c r="AD119" s="29">
        <v>1</v>
      </c>
      <c r="AE119" s="29">
        <v>6.2</v>
      </c>
      <c r="AF119" s="29"/>
      <c r="AG119" s="29"/>
    </row>
    <row r="120" spans="5:33">
      <c r="E120" s="295" t="s">
        <v>40</v>
      </c>
      <c r="F120" s="295"/>
      <c r="G120" s="317"/>
      <c r="H120" s="317"/>
      <c r="I120" s="317"/>
      <c r="J120" s="317"/>
      <c r="K120" s="317"/>
      <c r="L120" s="317"/>
      <c r="M120" s="317"/>
      <c r="N120" s="317"/>
      <c r="O120" s="317"/>
      <c r="P120" s="317"/>
      <c r="V120" s="29">
        <f t="shared" si="4"/>
        <v>28</v>
      </c>
      <c r="W120" s="29" t="s">
        <v>71</v>
      </c>
      <c r="X120" s="29">
        <v>63</v>
      </c>
      <c r="Y120" s="29" t="s">
        <v>795</v>
      </c>
      <c r="Z120" s="29" t="s">
        <v>547</v>
      </c>
      <c r="AA120" s="55">
        <v>3.3</v>
      </c>
      <c r="AB120" s="29" t="s">
        <v>276</v>
      </c>
      <c r="AC120" s="29">
        <v>3.3</v>
      </c>
      <c r="AD120" s="29">
        <v>1</v>
      </c>
      <c r="AE120" s="29">
        <v>6.2</v>
      </c>
      <c r="AF120" s="29"/>
      <c r="AG120" s="29"/>
    </row>
    <row r="121" spans="5:33">
      <c r="E121" s="295" t="s">
        <v>41</v>
      </c>
      <c r="F121" s="295"/>
      <c r="G121" s="317"/>
      <c r="H121" s="317"/>
      <c r="I121" s="317"/>
      <c r="J121" s="317"/>
      <c r="K121" s="317"/>
      <c r="L121" s="317"/>
      <c r="M121" s="317"/>
      <c r="N121" s="317"/>
      <c r="O121" s="317"/>
      <c r="P121" s="317"/>
      <c r="V121" s="29"/>
      <c r="W121" s="29"/>
      <c r="X121" s="29"/>
      <c r="Y121" s="29"/>
      <c r="Z121" s="29"/>
      <c r="AA121" s="55"/>
      <c r="AB121" s="29"/>
      <c r="AC121" s="29"/>
      <c r="AD121" s="29"/>
      <c r="AE121" s="29"/>
      <c r="AF121" s="29"/>
      <c r="AG121" s="29"/>
    </row>
    <row r="122" spans="5:33">
      <c r="E122" s="295" t="s">
        <v>42</v>
      </c>
      <c r="F122" s="295"/>
      <c r="G122" s="317"/>
      <c r="H122" s="317"/>
      <c r="I122" s="317"/>
      <c r="J122" s="317"/>
      <c r="K122" s="317"/>
      <c r="L122" s="317"/>
      <c r="M122" s="317"/>
      <c r="N122" s="317"/>
      <c r="O122" s="317"/>
      <c r="P122" s="317"/>
      <c r="V122" s="324"/>
      <c r="W122" s="324"/>
      <c r="X122" s="325" t="s">
        <v>86</v>
      </c>
      <c r="Y122" s="325"/>
      <c r="Z122" s="325"/>
      <c r="AA122" s="325"/>
      <c r="AB122" s="325" t="s">
        <v>87</v>
      </c>
      <c r="AC122" s="325"/>
      <c r="AD122" s="325"/>
      <c r="AE122" s="325" t="s">
        <v>39</v>
      </c>
      <c r="AF122" s="325"/>
      <c r="AG122" s="325"/>
    </row>
    <row r="123" spans="5:33">
      <c r="E123" s="295" t="s">
        <v>43</v>
      </c>
      <c r="F123" s="295"/>
      <c r="G123" s="315"/>
      <c r="H123" s="316"/>
      <c r="I123" s="316"/>
      <c r="J123" s="316"/>
      <c r="K123" s="317"/>
      <c r="L123" s="317"/>
      <c r="M123" s="317"/>
      <c r="N123" s="317"/>
      <c r="O123" s="317"/>
      <c r="P123" s="317"/>
      <c r="V123" s="295" t="s">
        <v>40</v>
      </c>
      <c r="W123" s="295"/>
      <c r="X123" s="317"/>
      <c r="Y123" s="317"/>
      <c r="Z123" s="317"/>
      <c r="AA123" s="317"/>
      <c r="AB123" s="317"/>
      <c r="AC123" s="317"/>
      <c r="AD123" s="317"/>
      <c r="AE123" s="317"/>
      <c r="AF123" s="317"/>
      <c r="AG123" s="317"/>
    </row>
    <row r="124" spans="5:33">
      <c r="E124" s="53"/>
      <c r="F124" s="46"/>
      <c r="G124" s="46"/>
      <c r="H124" s="46"/>
      <c r="I124" s="46"/>
      <c r="J124" s="56"/>
      <c r="K124" s="46"/>
      <c r="L124" s="46"/>
      <c r="M124" s="46"/>
      <c r="N124" s="46"/>
      <c r="O124" s="46"/>
      <c r="P124" s="46"/>
      <c r="V124" s="295" t="s">
        <v>41</v>
      </c>
      <c r="W124" s="295"/>
      <c r="X124" s="317"/>
      <c r="Y124" s="317"/>
      <c r="Z124" s="317"/>
      <c r="AA124" s="317"/>
      <c r="AB124" s="317"/>
      <c r="AC124" s="317"/>
      <c r="AD124" s="317"/>
      <c r="AE124" s="317"/>
      <c r="AF124" s="317"/>
      <c r="AG124" s="317"/>
    </row>
    <row r="125" spans="5:33">
      <c r="E125" s="53"/>
      <c r="F125" s="46"/>
      <c r="G125" s="46"/>
      <c r="H125" s="46"/>
      <c r="I125" s="46"/>
      <c r="J125" s="56"/>
      <c r="K125" s="46"/>
      <c r="L125" s="46"/>
      <c r="M125" s="46"/>
      <c r="N125" s="46"/>
      <c r="O125" s="46"/>
      <c r="P125" s="46"/>
      <c r="V125" s="295" t="s">
        <v>42</v>
      </c>
      <c r="W125" s="295"/>
      <c r="X125" s="317"/>
      <c r="Y125" s="317"/>
      <c r="Z125" s="317"/>
      <c r="AA125" s="317"/>
      <c r="AB125" s="317"/>
      <c r="AC125" s="317"/>
      <c r="AD125" s="317"/>
      <c r="AE125" s="317"/>
      <c r="AF125" s="317"/>
      <c r="AG125" s="317"/>
    </row>
    <row r="126" spans="5:33">
      <c r="E126" s="53"/>
      <c r="F126" s="46"/>
      <c r="G126" s="46"/>
      <c r="H126" s="46"/>
      <c r="I126" s="46"/>
      <c r="J126" s="56"/>
      <c r="K126" s="46"/>
      <c r="L126" s="46"/>
      <c r="M126" s="46"/>
      <c r="N126" s="46"/>
      <c r="O126" s="46"/>
      <c r="P126" s="46"/>
      <c r="V126" s="295" t="s">
        <v>43</v>
      </c>
      <c r="W126" s="295"/>
      <c r="X126" s="315"/>
      <c r="Y126" s="316"/>
      <c r="Z126" s="316"/>
      <c r="AA126" s="316"/>
      <c r="AB126" s="317"/>
      <c r="AC126" s="317"/>
      <c r="AD126" s="317"/>
      <c r="AE126" s="317"/>
      <c r="AF126" s="317"/>
      <c r="AG126" s="317"/>
    </row>
    <row r="127" spans="5:33">
      <c r="E127" s="53"/>
      <c r="F127" s="46"/>
      <c r="G127" s="46"/>
      <c r="H127" s="46"/>
      <c r="I127" s="46"/>
      <c r="J127" s="56"/>
      <c r="K127" s="46"/>
      <c r="L127" s="46"/>
      <c r="M127" s="46"/>
      <c r="N127" s="46"/>
      <c r="O127" s="46"/>
      <c r="P127" s="46"/>
      <c r="V127" s="46"/>
      <c r="W127" s="46"/>
      <c r="X127" s="46"/>
      <c r="Y127" s="46"/>
      <c r="Z127" s="46"/>
      <c r="AA127" s="56"/>
      <c r="AB127" s="46"/>
      <c r="AC127" s="46"/>
      <c r="AD127" s="46"/>
      <c r="AE127" s="46"/>
      <c r="AF127" s="46"/>
      <c r="AG127" s="46"/>
    </row>
    <row r="128" spans="5:33">
      <c r="E128" s="53"/>
      <c r="F128" s="46"/>
      <c r="G128" s="46"/>
      <c r="H128" s="46"/>
      <c r="I128" s="46"/>
      <c r="J128" s="56"/>
      <c r="K128" s="46"/>
      <c r="L128" s="46"/>
      <c r="M128" s="46"/>
      <c r="N128" s="46"/>
      <c r="O128" s="46"/>
      <c r="P128" s="46"/>
      <c r="V128" s="46"/>
      <c r="W128" s="46"/>
      <c r="X128" s="46"/>
      <c r="Y128" s="46"/>
      <c r="Z128" s="46"/>
      <c r="AA128" s="56"/>
      <c r="AB128" s="46"/>
      <c r="AC128" s="46"/>
      <c r="AD128" s="46"/>
      <c r="AE128" s="46"/>
      <c r="AF128" s="46"/>
      <c r="AG128" s="46"/>
    </row>
    <row r="129" spans="5:33">
      <c r="E129" s="53"/>
      <c r="F129" s="46"/>
      <c r="G129" s="46"/>
      <c r="H129" s="46"/>
      <c r="I129" s="46"/>
      <c r="J129" s="56"/>
      <c r="K129" s="46"/>
      <c r="L129" s="46"/>
      <c r="M129" s="46"/>
      <c r="N129" s="46"/>
      <c r="O129" s="46"/>
      <c r="P129" s="46"/>
      <c r="V129" s="46"/>
      <c r="W129" s="46"/>
      <c r="X129" s="46"/>
      <c r="Y129" s="46"/>
      <c r="Z129" s="46"/>
      <c r="AA129" s="56"/>
      <c r="AB129" s="46"/>
      <c r="AC129" s="46"/>
      <c r="AD129" s="46"/>
      <c r="AE129" s="46"/>
      <c r="AF129" s="46"/>
      <c r="AG129" s="46"/>
    </row>
    <row r="130" spans="5:33">
      <c r="E130" s="53"/>
      <c r="F130" s="46"/>
      <c r="G130" s="46"/>
      <c r="H130" s="46"/>
      <c r="I130" s="46"/>
      <c r="J130" s="56"/>
      <c r="K130" s="46"/>
      <c r="L130" s="46"/>
      <c r="M130" s="46"/>
      <c r="N130" s="46"/>
      <c r="O130" s="46"/>
      <c r="P130" s="46"/>
      <c r="V130" s="46"/>
      <c r="W130" s="46"/>
      <c r="X130" s="46"/>
      <c r="Y130" s="46"/>
      <c r="Z130" s="46"/>
      <c r="AA130" s="56"/>
      <c r="AB130" s="46"/>
      <c r="AC130" s="46"/>
      <c r="AD130" s="46"/>
      <c r="AE130" s="46"/>
      <c r="AF130" s="46"/>
      <c r="AG130" s="46"/>
    </row>
    <row r="131" spans="5:33">
      <c r="E131" s="53"/>
      <c r="F131" s="46"/>
      <c r="G131" s="46"/>
      <c r="H131" s="46"/>
      <c r="I131" s="46"/>
      <c r="J131" s="56"/>
      <c r="K131" s="46"/>
      <c r="L131" s="46"/>
      <c r="M131" s="46"/>
      <c r="N131" s="46"/>
      <c r="O131" s="46"/>
      <c r="P131" s="46"/>
      <c r="V131" s="46"/>
      <c r="W131" s="46"/>
      <c r="X131" s="46"/>
      <c r="Y131" s="46"/>
      <c r="Z131" s="46"/>
      <c r="AA131" s="46"/>
      <c r="AB131" s="46"/>
      <c r="AC131" s="46"/>
      <c r="AD131" s="46"/>
      <c r="AE131" s="46"/>
      <c r="AF131" s="46"/>
      <c r="AG131" s="46"/>
    </row>
    <row r="132" spans="5:33">
      <c r="E132" s="53"/>
      <c r="F132" s="46"/>
      <c r="G132" s="46"/>
      <c r="H132" s="46"/>
      <c r="I132" s="46"/>
      <c r="J132" s="56"/>
      <c r="K132" s="46"/>
      <c r="L132" s="46"/>
      <c r="M132" s="46"/>
      <c r="N132" s="46"/>
      <c r="O132" s="46"/>
      <c r="P132" s="46"/>
      <c r="V132" s="46"/>
      <c r="W132" s="46"/>
      <c r="X132" s="46"/>
      <c r="Y132" s="46"/>
      <c r="Z132" s="46"/>
      <c r="AA132" s="46"/>
      <c r="AB132" s="46"/>
      <c r="AC132" s="46"/>
      <c r="AD132" s="46"/>
      <c r="AE132" s="46"/>
      <c r="AF132" s="46"/>
      <c r="AG132" s="46"/>
    </row>
    <row r="133" spans="5:33">
      <c r="E133" s="46"/>
      <c r="F133" s="46"/>
      <c r="G133" s="46"/>
      <c r="H133" s="46"/>
      <c r="I133" s="46"/>
      <c r="J133" s="56"/>
      <c r="K133" s="46"/>
      <c r="L133" s="46"/>
      <c r="M133" s="46"/>
      <c r="N133" s="46"/>
      <c r="O133" s="46"/>
      <c r="P133" s="46"/>
      <c r="V133" s="46"/>
      <c r="W133" s="46"/>
      <c r="X133" s="46"/>
      <c r="Y133" s="46"/>
      <c r="Z133" s="46"/>
      <c r="AA133" s="56"/>
      <c r="AB133" s="46"/>
      <c r="AC133" s="46"/>
      <c r="AD133" s="46"/>
      <c r="AE133" s="46"/>
      <c r="AF133" s="46"/>
      <c r="AG133" s="46"/>
    </row>
    <row r="134" spans="5:33">
      <c r="E134" s="322"/>
      <c r="F134" s="322"/>
      <c r="G134" s="323"/>
      <c r="H134" s="323"/>
      <c r="I134" s="323"/>
      <c r="J134" s="323"/>
      <c r="K134" s="323"/>
      <c r="L134" s="323"/>
      <c r="M134" s="323"/>
      <c r="N134" s="323"/>
      <c r="O134" s="323"/>
      <c r="P134" s="323"/>
      <c r="V134" s="46"/>
      <c r="W134" s="46"/>
      <c r="X134" s="46"/>
      <c r="Y134" s="46"/>
      <c r="Z134" s="46"/>
      <c r="AA134" s="46"/>
      <c r="AB134" s="46"/>
      <c r="AC134" s="46"/>
      <c r="AD134" s="46"/>
      <c r="AE134" s="46"/>
      <c r="AF134" s="46"/>
      <c r="AG134" s="46"/>
    </row>
    <row r="135" spans="5:33">
      <c r="E135" s="318"/>
      <c r="F135" s="318"/>
      <c r="G135" s="321"/>
      <c r="H135" s="321"/>
      <c r="I135" s="321"/>
      <c r="J135" s="321"/>
      <c r="K135" s="321"/>
      <c r="L135" s="321"/>
      <c r="M135" s="321"/>
      <c r="N135" s="321"/>
      <c r="O135" s="321"/>
      <c r="P135" s="321"/>
      <c r="V135" s="46"/>
      <c r="W135" s="46"/>
      <c r="X135" s="46"/>
      <c r="Y135" s="46"/>
      <c r="Z135" s="46"/>
      <c r="AA135" s="46"/>
      <c r="AB135" s="46"/>
      <c r="AC135" s="46"/>
      <c r="AD135" s="46"/>
      <c r="AE135" s="46"/>
      <c r="AF135" s="46"/>
      <c r="AG135" s="46"/>
    </row>
    <row r="136" spans="5:33">
      <c r="E136" s="318"/>
      <c r="F136" s="318"/>
      <c r="G136" s="321"/>
      <c r="H136" s="321"/>
      <c r="I136" s="321"/>
      <c r="J136" s="321"/>
      <c r="K136" s="321"/>
      <c r="L136" s="321"/>
      <c r="M136" s="321"/>
      <c r="N136" s="321"/>
      <c r="O136" s="321"/>
      <c r="P136" s="321"/>
      <c r="V136" s="46"/>
      <c r="W136" s="46"/>
      <c r="X136" s="46"/>
      <c r="Y136" s="46"/>
      <c r="Z136" s="46"/>
      <c r="AA136" s="46"/>
      <c r="AB136" s="46"/>
      <c r="AC136" s="46"/>
      <c r="AD136" s="46"/>
      <c r="AE136" s="46"/>
      <c r="AF136" s="46"/>
      <c r="AG136" s="46"/>
    </row>
    <row r="137" spans="5:33">
      <c r="E137" s="318"/>
      <c r="F137" s="318"/>
      <c r="G137" s="321"/>
      <c r="H137" s="321"/>
      <c r="I137" s="321"/>
      <c r="J137" s="321"/>
      <c r="K137" s="321"/>
      <c r="L137" s="321"/>
      <c r="M137" s="321"/>
      <c r="N137" s="321"/>
      <c r="O137" s="321"/>
      <c r="P137" s="321"/>
      <c r="V137" s="46"/>
      <c r="W137" s="46"/>
      <c r="X137" s="46"/>
      <c r="Y137" s="46"/>
      <c r="Z137" s="46"/>
      <c r="AA137" s="46"/>
      <c r="AB137" s="46"/>
      <c r="AC137" s="46"/>
      <c r="AD137" s="46"/>
      <c r="AE137" s="46"/>
      <c r="AF137" s="46"/>
      <c r="AG137" s="46"/>
    </row>
    <row r="138" spans="5:33">
      <c r="E138" s="318"/>
      <c r="F138" s="318"/>
      <c r="G138" s="319"/>
      <c r="H138" s="320"/>
      <c r="I138" s="320"/>
      <c r="J138" s="320"/>
      <c r="K138" s="321"/>
      <c r="L138" s="321"/>
      <c r="M138" s="321"/>
      <c r="N138" s="321"/>
      <c r="O138" s="321"/>
      <c r="P138" s="321"/>
      <c r="V138" s="46"/>
      <c r="W138" s="46"/>
      <c r="X138" s="46"/>
      <c r="Y138" s="46"/>
      <c r="Z138" s="46"/>
      <c r="AA138" s="46"/>
      <c r="AB138" s="46"/>
      <c r="AC138" s="46"/>
      <c r="AD138" s="46"/>
      <c r="AE138" s="46"/>
      <c r="AF138" s="46"/>
      <c r="AG138" s="46"/>
    </row>
    <row r="139" spans="5:33">
      <c r="E139" s="46"/>
      <c r="F139" s="46"/>
      <c r="G139" s="46"/>
      <c r="H139" s="46"/>
      <c r="I139" s="46"/>
      <c r="J139" s="46"/>
      <c r="K139" s="46"/>
      <c r="L139" s="46"/>
      <c r="M139" s="46"/>
      <c r="N139" s="46"/>
      <c r="O139" s="46"/>
      <c r="P139" s="46"/>
      <c r="V139" s="46"/>
      <c r="W139" s="46"/>
      <c r="X139" s="46"/>
      <c r="Y139" s="46"/>
      <c r="Z139" s="46"/>
      <c r="AA139" s="46"/>
      <c r="AB139" s="46"/>
      <c r="AC139" s="46"/>
      <c r="AD139" s="46"/>
      <c r="AE139" s="46"/>
      <c r="AF139" s="46"/>
      <c r="AG139" s="46"/>
    </row>
    <row r="140" spans="5:33">
      <c r="E140" s="354"/>
      <c r="F140" s="215"/>
      <c r="G140" s="215"/>
      <c r="H140" s="215"/>
      <c r="I140" s="215"/>
      <c r="J140" s="215"/>
      <c r="K140" s="215"/>
      <c r="L140" s="215"/>
      <c r="M140" s="215"/>
      <c r="V140" s="46"/>
      <c r="W140" s="46"/>
      <c r="X140" s="46"/>
      <c r="Y140" s="46"/>
      <c r="Z140" s="46"/>
      <c r="AA140" s="46"/>
      <c r="AB140" s="46"/>
      <c r="AC140" s="46"/>
      <c r="AD140" s="46"/>
      <c r="AE140" s="46"/>
      <c r="AF140" s="46"/>
      <c r="AG140" s="46"/>
    </row>
    <row r="141" spans="5:33">
      <c r="E141" s="354"/>
      <c r="F141" s="215"/>
      <c r="G141" s="215"/>
      <c r="H141" s="215"/>
      <c r="I141" s="215"/>
      <c r="J141" s="215"/>
      <c r="K141" s="215"/>
      <c r="L141" s="215"/>
      <c r="M141" s="215"/>
      <c r="V141" s="46"/>
      <c r="W141" s="46"/>
      <c r="X141" s="46"/>
      <c r="Y141" s="46"/>
      <c r="Z141" s="46"/>
      <c r="AA141" s="46"/>
      <c r="AB141" s="46"/>
      <c r="AC141" s="46"/>
      <c r="AD141" s="46"/>
      <c r="AE141" s="46"/>
      <c r="AF141" s="46"/>
      <c r="AG141" s="46"/>
    </row>
    <row r="142" spans="5:33">
      <c r="E142" s="354"/>
      <c r="F142" s="215"/>
      <c r="G142" s="215"/>
      <c r="H142" s="215"/>
      <c r="I142" s="215"/>
      <c r="J142" s="215"/>
      <c r="K142" s="215"/>
      <c r="L142" s="215"/>
      <c r="M142" s="215"/>
      <c r="V142" s="46"/>
      <c r="W142" s="46"/>
      <c r="X142" s="46"/>
      <c r="Y142" s="46"/>
      <c r="Z142" s="46"/>
      <c r="AA142" s="46"/>
      <c r="AB142" s="46"/>
      <c r="AC142" s="46"/>
      <c r="AD142" s="46"/>
      <c r="AE142" s="46"/>
      <c r="AF142" s="46"/>
      <c r="AG142" s="46"/>
    </row>
    <row r="143" spans="5:33">
      <c r="E143" s="354"/>
      <c r="F143" s="215"/>
      <c r="G143" s="215"/>
      <c r="H143" s="215"/>
      <c r="I143" s="215"/>
      <c r="J143" s="215"/>
      <c r="K143" s="215"/>
      <c r="L143" s="215"/>
      <c r="M143" s="215"/>
      <c r="V143" s="46"/>
      <c r="W143" s="46"/>
      <c r="X143" s="46"/>
      <c r="Y143" s="46"/>
      <c r="Z143" s="46"/>
      <c r="AA143" s="46"/>
      <c r="AB143" s="46"/>
      <c r="AC143" s="46"/>
      <c r="AD143" s="46"/>
      <c r="AE143" s="46"/>
      <c r="AF143" s="46"/>
      <c r="AG143" s="46"/>
    </row>
    <row r="144" spans="5:33" ht="16.5">
      <c r="E144" s="366"/>
      <c r="F144" s="366"/>
      <c r="G144" s="48"/>
      <c r="H144" s="48"/>
      <c r="I144" s="48"/>
      <c r="J144" s="48"/>
      <c r="K144" s="48"/>
      <c r="L144" s="48"/>
      <c r="M144" s="48"/>
      <c r="N144" s="48"/>
      <c r="O144" s="48"/>
      <c r="P144" s="48"/>
      <c r="V144" s="46"/>
      <c r="W144" s="46"/>
      <c r="X144" s="46"/>
      <c r="Y144" s="46"/>
      <c r="Z144" s="46"/>
      <c r="AA144" s="46"/>
      <c r="AB144" s="46"/>
      <c r="AC144" s="46"/>
      <c r="AD144" s="46"/>
      <c r="AE144" s="46"/>
      <c r="AF144" s="46"/>
      <c r="AG144" s="46"/>
    </row>
    <row r="145" spans="5:33" ht="16.5">
      <c r="E145" s="366"/>
      <c r="F145" s="366"/>
      <c r="G145" s="48"/>
      <c r="H145" s="48"/>
      <c r="I145" s="48"/>
      <c r="J145" s="48"/>
      <c r="K145" s="48"/>
      <c r="L145" s="48"/>
      <c r="M145" s="48"/>
      <c r="N145" s="48"/>
      <c r="O145" s="48"/>
      <c r="P145" s="48"/>
      <c r="V145" s="322"/>
      <c r="W145" s="322"/>
      <c r="X145" s="323"/>
      <c r="Y145" s="323"/>
      <c r="Z145" s="323"/>
      <c r="AA145" s="323"/>
      <c r="AB145" s="323"/>
      <c r="AC145" s="323"/>
      <c r="AD145" s="323"/>
      <c r="AE145" s="323"/>
      <c r="AF145" s="323"/>
      <c r="AG145" s="323"/>
    </row>
    <row r="146" spans="5:33" ht="16.5">
      <c r="E146" s="366"/>
      <c r="F146" s="366"/>
      <c r="G146" s="48"/>
      <c r="H146" s="48"/>
      <c r="I146" s="48"/>
      <c r="J146" s="48"/>
      <c r="K146" s="48"/>
      <c r="L146" s="48"/>
      <c r="M146" s="48"/>
      <c r="N146" s="48"/>
      <c r="O146" s="48"/>
      <c r="P146" s="48"/>
      <c r="V146" s="318"/>
      <c r="W146" s="318"/>
      <c r="X146" s="321"/>
      <c r="Y146" s="321"/>
      <c r="Z146" s="321"/>
      <c r="AA146" s="321"/>
      <c r="AB146" s="321"/>
      <c r="AC146" s="321"/>
      <c r="AD146" s="321"/>
      <c r="AE146" s="321"/>
      <c r="AF146" s="321"/>
      <c r="AG146" s="321"/>
    </row>
    <row r="147" spans="5:33" ht="16.5">
      <c r="E147" s="366"/>
      <c r="F147" s="366"/>
      <c r="G147" s="48"/>
      <c r="H147" s="48"/>
      <c r="I147" s="48"/>
      <c r="J147" s="48"/>
      <c r="K147" s="48"/>
      <c r="L147" s="48"/>
      <c r="M147" s="48"/>
      <c r="N147" s="48"/>
      <c r="O147" s="48"/>
      <c r="P147" s="48"/>
      <c r="V147" s="318"/>
      <c r="W147" s="318"/>
      <c r="X147" s="321"/>
      <c r="Y147" s="321"/>
      <c r="Z147" s="321"/>
      <c r="AA147" s="321"/>
      <c r="AB147" s="321"/>
      <c r="AC147" s="321"/>
      <c r="AD147" s="321"/>
      <c r="AE147" s="321"/>
      <c r="AF147" s="321"/>
      <c r="AG147" s="321"/>
    </row>
    <row r="148" spans="5:33" ht="15.75">
      <c r="E148" s="367"/>
      <c r="F148" s="367"/>
      <c r="G148" s="367"/>
      <c r="H148" s="367"/>
      <c r="I148" s="367"/>
      <c r="J148" s="367"/>
      <c r="K148" s="367"/>
      <c r="L148" s="367"/>
      <c r="M148" s="367"/>
      <c r="N148" s="367"/>
      <c r="O148" s="367"/>
      <c r="P148" s="367"/>
      <c r="V148" s="318"/>
      <c r="W148" s="318"/>
      <c r="X148" s="321"/>
      <c r="Y148" s="321"/>
      <c r="Z148" s="321"/>
      <c r="AA148" s="321"/>
      <c r="AB148" s="321"/>
      <c r="AC148" s="321"/>
      <c r="AD148" s="321"/>
      <c r="AE148" s="321"/>
      <c r="AF148" s="321"/>
      <c r="AG148" s="321"/>
    </row>
    <row r="149" spans="5:33" ht="15.75">
      <c r="E149" s="49"/>
      <c r="G149" s="50"/>
      <c r="H149" s="50"/>
      <c r="I149" s="50"/>
      <c r="J149" s="50"/>
      <c r="K149" s="51"/>
      <c r="L149" s="51"/>
      <c r="M149" s="50"/>
      <c r="N149" s="50"/>
      <c r="O149" s="50"/>
      <c r="P149" s="50"/>
      <c r="V149" s="318"/>
      <c r="W149" s="318"/>
      <c r="X149" s="319"/>
      <c r="Y149" s="320"/>
      <c r="Z149" s="320"/>
      <c r="AA149" s="320"/>
      <c r="AB149" s="321"/>
      <c r="AC149" s="321"/>
      <c r="AD149" s="321"/>
      <c r="AE149" s="321"/>
      <c r="AF149" s="321"/>
      <c r="AG149" s="321"/>
    </row>
    <row r="150" spans="5:33">
      <c r="E150" s="362"/>
      <c r="F150" s="362"/>
      <c r="G150" s="362"/>
      <c r="H150" s="362"/>
      <c r="I150" s="362"/>
      <c r="J150" s="362"/>
      <c r="K150" s="362"/>
      <c r="L150" s="362"/>
      <c r="M150" s="362"/>
      <c r="N150" s="362"/>
      <c r="O150" s="362"/>
      <c r="P150" s="362"/>
    </row>
    <row r="151" spans="5:33" ht="15.75">
      <c r="E151" s="52"/>
      <c r="F151" s="363"/>
      <c r="G151" s="363"/>
      <c r="H151" s="363"/>
      <c r="I151" s="363"/>
      <c r="J151" s="363"/>
      <c r="K151" s="364"/>
      <c r="L151" s="364"/>
      <c r="M151" s="364"/>
      <c r="N151" s="364"/>
      <c r="O151" s="364"/>
      <c r="P151" s="364"/>
    </row>
    <row r="152" spans="5:33">
      <c r="E152" s="361"/>
      <c r="F152" s="361"/>
      <c r="G152" s="361"/>
      <c r="H152" s="361"/>
      <c r="I152" s="361"/>
      <c r="J152" s="361"/>
      <c r="K152" s="361"/>
      <c r="L152" s="365"/>
      <c r="M152" s="365"/>
      <c r="N152" s="365"/>
      <c r="O152" s="361"/>
      <c r="P152" s="361"/>
    </row>
    <row r="153" spans="5:33">
      <c r="E153" s="361"/>
      <c r="F153" s="361"/>
      <c r="G153" s="361"/>
      <c r="H153" s="361"/>
      <c r="I153" s="361"/>
      <c r="J153" s="361"/>
      <c r="K153" s="361"/>
      <c r="L153" s="53"/>
      <c r="M153" s="54"/>
      <c r="N153" s="53"/>
      <c r="O153" s="361"/>
      <c r="P153" s="361"/>
    </row>
    <row r="154" spans="5:33">
      <c r="E154" s="46"/>
      <c r="F154" s="46"/>
      <c r="G154" s="46"/>
      <c r="H154" s="46"/>
      <c r="I154" s="46"/>
      <c r="J154" s="56"/>
      <c r="K154" s="46"/>
      <c r="L154" s="46"/>
      <c r="M154" s="46"/>
      <c r="N154" s="46"/>
      <c r="O154" s="46"/>
      <c r="P154" s="46"/>
    </row>
    <row r="155" spans="5:33">
      <c r="E155" s="46"/>
      <c r="F155" s="46"/>
      <c r="G155" s="46"/>
      <c r="H155" s="46"/>
      <c r="I155" s="46"/>
      <c r="J155" s="56"/>
      <c r="K155" s="46"/>
      <c r="L155" s="46"/>
      <c r="M155" s="46"/>
      <c r="N155" s="46"/>
      <c r="O155" s="46"/>
      <c r="P155" s="46"/>
    </row>
    <row r="156" spans="5:33">
      <c r="E156" s="46"/>
      <c r="F156" s="46"/>
      <c r="G156" s="46"/>
      <c r="H156" s="46"/>
      <c r="I156" s="46"/>
      <c r="J156" s="56"/>
      <c r="K156" s="46"/>
      <c r="L156" s="46"/>
      <c r="M156" s="46"/>
      <c r="N156" s="46"/>
      <c r="O156" s="46"/>
      <c r="P156" s="46"/>
    </row>
    <row r="157" spans="5:33">
      <c r="E157" s="46"/>
      <c r="F157" s="46"/>
      <c r="G157" s="46"/>
      <c r="H157" s="46"/>
      <c r="I157" s="46"/>
      <c r="J157" s="56"/>
      <c r="K157" s="46"/>
      <c r="L157" s="46"/>
      <c r="M157" s="46"/>
      <c r="N157" s="46"/>
      <c r="O157" s="46"/>
      <c r="P157" s="46"/>
      <c r="W157">
        <v>1187</v>
      </c>
    </row>
    <row r="158" spans="5:33">
      <c r="E158" s="46"/>
      <c r="F158" s="46"/>
      <c r="G158" s="46"/>
      <c r="H158" s="46"/>
      <c r="I158" s="46"/>
      <c r="J158" s="56"/>
      <c r="K158" s="46"/>
      <c r="L158" s="46"/>
      <c r="M158" s="46"/>
      <c r="N158" s="46"/>
      <c r="O158" s="46"/>
      <c r="P158" s="46"/>
    </row>
    <row r="159" spans="5:33">
      <c r="E159" s="46"/>
      <c r="F159" s="46"/>
      <c r="G159" s="46"/>
      <c r="H159" s="46"/>
      <c r="I159" s="46"/>
      <c r="J159" s="56"/>
      <c r="K159" s="46"/>
      <c r="L159" s="46"/>
      <c r="M159" s="46"/>
      <c r="N159" s="46"/>
      <c r="O159" s="46"/>
      <c r="P159" s="46"/>
    </row>
    <row r="160" spans="5:33">
      <c r="E160" s="46"/>
      <c r="F160" s="46"/>
      <c r="G160" s="46"/>
      <c r="H160" s="46"/>
      <c r="I160" s="46"/>
      <c r="J160" s="56"/>
      <c r="K160" s="46"/>
      <c r="L160" s="46"/>
      <c r="M160" s="46"/>
      <c r="N160" s="46"/>
      <c r="O160" s="46"/>
      <c r="P160" s="46"/>
    </row>
    <row r="161" spans="5:16">
      <c r="E161" s="46"/>
      <c r="F161" s="46"/>
      <c r="G161" s="46"/>
      <c r="H161" s="46"/>
      <c r="I161" s="46"/>
      <c r="J161" s="56"/>
      <c r="K161" s="46"/>
      <c r="L161" s="46"/>
      <c r="M161" s="46"/>
      <c r="N161" s="46"/>
      <c r="O161" s="46"/>
      <c r="P161" s="46"/>
    </row>
    <row r="162" spans="5:16">
      <c r="E162" s="46"/>
      <c r="F162" s="46"/>
      <c r="G162" s="46"/>
      <c r="H162" s="46"/>
      <c r="I162" s="46"/>
      <c r="J162" s="56"/>
      <c r="K162" s="46"/>
      <c r="L162" s="46"/>
      <c r="M162" s="46"/>
      <c r="N162" s="46"/>
      <c r="O162" s="46"/>
      <c r="P162" s="46"/>
    </row>
    <row r="163" spans="5:16">
      <c r="E163" s="46"/>
      <c r="F163" s="46"/>
      <c r="G163" s="46"/>
      <c r="H163" s="46"/>
      <c r="I163" s="46"/>
      <c r="J163" s="56"/>
      <c r="K163" s="46"/>
      <c r="L163" s="46"/>
      <c r="M163" s="46"/>
      <c r="N163" s="46"/>
      <c r="O163" s="46"/>
      <c r="P163" s="46"/>
    </row>
    <row r="164" spans="5:16">
      <c r="E164" s="46"/>
      <c r="F164" s="46"/>
      <c r="G164" s="46"/>
      <c r="H164" s="46"/>
      <c r="I164" s="46"/>
      <c r="J164" s="56"/>
      <c r="K164" s="46"/>
      <c r="L164" s="46"/>
      <c r="M164" s="46"/>
      <c r="N164" s="46"/>
      <c r="O164" s="46"/>
      <c r="P164" s="46"/>
    </row>
    <row r="165" spans="5:16">
      <c r="E165" s="46"/>
      <c r="F165" s="46"/>
      <c r="G165" s="46"/>
      <c r="H165" s="46"/>
      <c r="I165" s="46"/>
      <c r="J165" s="56"/>
      <c r="K165" s="46"/>
      <c r="L165" s="46"/>
      <c r="M165" s="46"/>
      <c r="N165" s="46"/>
      <c r="O165" s="46"/>
      <c r="P165" s="46"/>
    </row>
    <row r="166" spans="5:16">
      <c r="E166" s="46"/>
      <c r="F166" s="46"/>
      <c r="G166" s="46"/>
      <c r="H166" s="46"/>
      <c r="I166" s="46"/>
      <c r="J166" s="56"/>
      <c r="K166" s="46"/>
      <c r="L166" s="46"/>
      <c r="M166" s="46"/>
      <c r="N166" s="46"/>
      <c r="O166" s="46"/>
      <c r="P166" s="46"/>
    </row>
    <row r="167" spans="5:16">
      <c r="E167" s="46"/>
      <c r="F167" s="46"/>
      <c r="G167" s="46"/>
      <c r="H167" s="46"/>
      <c r="I167" s="46"/>
      <c r="J167" s="56"/>
      <c r="K167" s="46"/>
      <c r="L167" s="46"/>
      <c r="M167" s="46"/>
      <c r="N167" s="46"/>
      <c r="O167" s="46"/>
      <c r="P167" s="46"/>
    </row>
    <row r="168" spans="5:16">
      <c r="E168" s="46"/>
      <c r="F168" s="46"/>
      <c r="G168" s="46"/>
      <c r="H168" s="46"/>
      <c r="I168" s="46"/>
      <c r="J168" s="56"/>
      <c r="K168" s="46"/>
      <c r="L168" s="46"/>
      <c r="M168" s="46"/>
      <c r="N168" s="46"/>
      <c r="O168" s="46"/>
      <c r="P168" s="46"/>
    </row>
    <row r="169" spans="5:16">
      <c r="E169" s="46"/>
      <c r="F169" s="46"/>
      <c r="G169" s="46"/>
      <c r="H169" s="46"/>
      <c r="I169" s="46"/>
      <c r="J169" s="56"/>
      <c r="K169" s="46"/>
      <c r="L169" s="46"/>
      <c r="M169" s="46"/>
      <c r="N169" s="46"/>
      <c r="O169" s="46"/>
      <c r="P169" s="46"/>
    </row>
    <row r="170" spans="5:16">
      <c r="E170" s="46"/>
      <c r="F170" s="46"/>
      <c r="G170" s="46"/>
      <c r="H170" s="46"/>
      <c r="I170" s="46"/>
      <c r="J170" s="56"/>
      <c r="K170" s="46"/>
      <c r="L170" s="46"/>
      <c r="M170" s="46"/>
      <c r="N170" s="46"/>
      <c r="O170" s="46"/>
      <c r="P170" s="46"/>
    </row>
    <row r="171" spans="5:16">
      <c r="E171" s="46"/>
      <c r="F171" s="46"/>
      <c r="G171" s="46"/>
      <c r="H171" s="46"/>
      <c r="I171" s="46"/>
      <c r="J171" s="56"/>
      <c r="K171" s="46"/>
      <c r="L171" s="46"/>
      <c r="M171" s="46"/>
      <c r="N171" s="46"/>
      <c r="O171" s="46"/>
      <c r="P171" s="46"/>
    </row>
    <row r="172" spans="5:16">
      <c r="E172" s="46"/>
      <c r="F172" s="46"/>
      <c r="G172" s="46"/>
      <c r="H172" s="46"/>
      <c r="I172" s="46"/>
      <c r="J172" s="56"/>
      <c r="K172" s="46"/>
      <c r="L172" s="46"/>
      <c r="M172" s="46"/>
      <c r="N172" s="46"/>
      <c r="O172" s="46"/>
      <c r="P172" s="46"/>
    </row>
    <row r="173" spans="5:16">
      <c r="E173" s="46"/>
      <c r="F173" s="46"/>
      <c r="G173" s="46"/>
      <c r="H173" s="46"/>
      <c r="I173" s="46"/>
      <c r="J173" s="56"/>
      <c r="K173" s="46"/>
      <c r="L173" s="46"/>
      <c r="M173" s="46"/>
      <c r="N173" s="46"/>
      <c r="O173" s="46"/>
      <c r="P173" s="46"/>
    </row>
    <row r="174" spans="5:16">
      <c r="E174" s="46"/>
      <c r="F174" s="46"/>
      <c r="G174" s="46"/>
      <c r="H174" s="46"/>
      <c r="I174" s="46"/>
      <c r="J174" s="56"/>
      <c r="K174" s="46"/>
      <c r="L174" s="46"/>
      <c r="M174" s="46"/>
      <c r="N174" s="46"/>
      <c r="O174" s="46"/>
      <c r="P174" s="46"/>
    </row>
    <row r="175" spans="5:16">
      <c r="E175" s="46"/>
      <c r="F175" s="46"/>
      <c r="G175" s="46"/>
      <c r="H175" s="46"/>
      <c r="I175" s="46"/>
      <c r="J175" s="56"/>
      <c r="K175" s="46"/>
      <c r="L175" s="46"/>
      <c r="M175" s="46"/>
      <c r="N175" s="46"/>
      <c r="O175" s="46"/>
      <c r="P175" s="46"/>
    </row>
    <row r="176" spans="5:16">
      <c r="E176" s="46"/>
      <c r="F176" s="46"/>
      <c r="G176" s="46"/>
      <c r="H176" s="46"/>
      <c r="I176" s="46"/>
      <c r="J176" s="56"/>
      <c r="K176" s="46"/>
      <c r="L176" s="46"/>
      <c r="M176" s="46"/>
      <c r="N176" s="46"/>
      <c r="O176" s="46"/>
      <c r="P176" s="46"/>
    </row>
    <row r="177" spans="5:16">
      <c r="E177" s="46"/>
      <c r="F177" s="46"/>
      <c r="G177" s="46"/>
      <c r="H177" s="46"/>
      <c r="I177" s="46"/>
      <c r="J177" s="56"/>
      <c r="K177" s="46"/>
      <c r="L177" s="46"/>
      <c r="M177" s="46"/>
      <c r="N177" s="46"/>
      <c r="O177" s="46"/>
      <c r="P177" s="46"/>
    </row>
    <row r="178" spans="5:16">
      <c r="E178" s="46"/>
      <c r="F178" s="46"/>
      <c r="G178" s="46"/>
      <c r="H178" s="46"/>
      <c r="I178" s="46"/>
      <c r="J178" s="56"/>
      <c r="K178" s="46"/>
      <c r="L178" s="46"/>
      <c r="M178" s="46"/>
      <c r="N178" s="46"/>
      <c r="O178" s="46"/>
      <c r="P178" s="46"/>
    </row>
    <row r="179" spans="5:16">
      <c r="E179" s="46"/>
      <c r="F179" s="46"/>
      <c r="G179" s="46"/>
      <c r="H179" s="46"/>
      <c r="I179" s="46"/>
      <c r="J179" s="56"/>
      <c r="K179" s="46"/>
      <c r="L179" s="46"/>
      <c r="M179" s="46"/>
      <c r="N179" s="46"/>
      <c r="O179" s="46"/>
      <c r="P179" s="46"/>
    </row>
    <row r="180" spans="5:16">
      <c r="E180" s="46"/>
      <c r="F180" s="46"/>
      <c r="G180" s="46"/>
      <c r="H180" s="46"/>
      <c r="I180" s="46"/>
      <c r="J180" s="56"/>
      <c r="K180" s="46"/>
      <c r="L180" s="46"/>
      <c r="M180" s="46"/>
      <c r="N180" s="46"/>
      <c r="O180" s="46"/>
      <c r="P180" s="46"/>
    </row>
    <row r="181" spans="5:16">
      <c r="E181" s="46"/>
      <c r="F181" s="46"/>
      <c r="G181" s="46"/>
      <c r="H181" s="46"/>
      <c r="I181" s="46"/>
      <c r="J181" s="56"/>
      <c r="K181" s="46"/>
      <c r="L181" s="46"/>
      <c r="M181" s="46"/>
      <c r="N181" s="46"/>
      <c r="O181" s="46"/>
      <c r="P181" s="46"/>
    </row>
    <row r="182" spans="5:16">
      <c r="E182" s="46"/>
      <c r="F182" s="46"/>
      <c r="G182" s="46"/>
      <c r="H182" s="46"/>
      <c r="I182" s="46"/>
      <c r="J182" s="56"/>
      <c r="K182" s="46"/>
      <c r="L182" s="46"/>
      <c r="M182" s="46"/>
      <c r="N182" s="46"/>
      <c r="O182" s="46"/>
      <c r="P182" s="46"/>
    </row>
    <row r="183" spans="5:16">
      <c r="E183" s="46"/>
      <c r="F183" s="46"/>
      <c r="G183" s="46"/>
      <c r="H183" s="46"/>
      <c r="I183" s="46"/>
      <c r="J183" s="56"/>
      <c r="K183" s="46"/>
      <c r="L183" s="46"/>
      <c r="M183" s="46"/>
      <c r="N183" s="46"/>
      <c r="O183" s="46"/>
      <c r="P183" s="46"/>
    </row>
    <row r="184" spans="5:16">
      <c r="E184" s="46"/>
      <c r="F184" s="46"/>
      <c r="G184" s="46"/>
      <c r="H184" s="46"/>
      <c r="I184" s="46"/>
      <c r="J184" s="56"/>
      <c r="K184" s="46"/>
      <c r="L184" s="46"/>
      <c r="M184" s="46"/>
      <c r="N184" s="46"/>
      <c r="O184" s="46"/>
      <c r="P184" s="46"/>
    </row>
    <row r="185" spans="5:16">
      <c r="E185" s="46"/>
      <c r="F185" s="46"/>
      <c r="G185" s="46"/>
      <c r="H185" s="46"/>
      <c r="I185" s="46"/>
      <c r="J185" s="56"/>
      <c r="K185" s="46"/>
      <c r="L185" s="46"/>
      <c r="M185" s="46"/>
      <c r="N185" s="46"/>
      <c r="O185" s="46"/>
      <c r="P185" s="46"/>
    </row>
    <row r="186" spans="5:16">
      <c r="E186" s="46"/>
      <c r="F186" s="46"/>
      <c r="G186" s="46"/>
      <c r="H186" s="46"/>
      <c r="I186" s="46"/>
      <c r="J186" s="56"/>
      <c r="K186" s="46"/>
      <c r="L186" s="46"/>
      <c r="M186" s="46"/>
      <c r="N186" s="46"/>
      <c r="O186" s="46"/>
      <c r="P186" s="46"/>
    </row>
    <row r="187" spans="5:16">
      <c r="E187" s="46"/>
      <c r="F187" s="46"/>
      <c r="G187" s="46"/>
      <c r="H187" s="46"/>
      <c r="I187" s="46"/>
      <c r="J187" s="56"/>
      <c r="K187" s="46"/>
      <c r="L187" s="46"/>
      <c r="M187" s="46"/>
      <c r="N187" s="46"/>
      <c r="O187" s="46"/>
      <c r="P187" s="46"/>
    </row>
    <row r="188" spans="5:16">
      <c r="E188" s="46"/>
      <c r="F188" s="46"/>
      <c r="G188" s="46"/>
      <c r="H188" s="46"/>
      <c r="I188" s="46"/>
      <c r="J188" s="56"/>
      <c r="K188" s="46"/>
      <c r="L188" s="46"/>
      <c r="M188" s="46"/>
      <c r="N188" s="46"/>
      <c r="O188" s="46"/>
      <c r="P188" s="46"/>
    </row>
    <row r="189" spans="5:16">
      <c r="E189" s="46"/>
      <c r="F189" s="46"/>
      <c r="G189" s="46"/>
      <c r="H189" s="46"/>
      <c r="I189" s="46"/>
      <c r="J189" s="56"/>
      <c r="K189" s="46"/>
      <c r="L189" s="46"/>
      <c r="M189" s="46"/>
      <c r="N189" s="46"/>
      <c r="O189" s="46"/>
      <c r="P189" s="46"/>
    </row>
    <row r="190" spans="5:16">
      <c r="E190" s="46"/>
      <c r="F190" s="46"/>
      <c r="G190" s="46"/>
      <c r="H190" s="46"/>
      <c r="I190" s="46"/>
      <c r="J190" s="56"/>
      <c r="K190" s="46"/>
      <c r="L190" s="46"/>
      <c r="M190" s="46"/>
      <c r="N190" s="46"/>
      <c r="O190" s="46"/>
      <c r="P190" s="46"/>
    </row>
    <row r="191" spans="5:16">
      <c r="E191" s="322"/>
      <c r="F191" s="322"/>
      <c r="G191" s="323"/>
      <c r="H191" s="323"/>
      <c r="I191" s="323"/>
      <c r="J191" s="323"/>
      <c r="K191" s="323"/>
      <c r="L191" s="323"/>
      <c r="M191" s="323"/>
      <c r="N191" s="323"/>
      <c r="O191" s="323"/>
      <c r="P191" s="323"/>
    </row>
    <row r="192" spans="5:16">
      <c r="E192" s="318"/>
      <c r="F192" s="318"/>
      <c r="G192" s="321"/>
      <c r="H192" s="321"/>
      <c r="I192" s="321"/>
      <c r="J192" s="321"/>
      <c r="K192" s="321"/>
      <c r="L192" s="321"/>
      <c r="M192" s="321"/>
      <c r="N192" s="321"/>
      <c r="O192" s="321"/>
      <c r="P192" s="321"/>
    </row>
    <row r="193" spans="5:16">
      <c r="E193" s="318"/>
      <c r="F193" s="318"/>
      <c r="G193" s="321"/>
      <c r="H193" s="321"/>
      <c r="I193" s="321"/>
      <c r="J193" s="321"/>
      <c r="K193" s="321"/>
      <c r="L193" s="321"/>
      <c r="M193" s="321"/>
      <c r="N193" s="321"/>
      <c r="O193" s="321"/>
      <c r="P193" s="321"/>
    </row>
    <row r="194" spans="5:16">
      <c r="E194" s="318"/>
      <c r="F194" s="318"/>
      <c r="G194" s="321"/>
      <c r="H194" s="321"/>
      <c r="I194" s="321"/>
      <c r="J194" s="321"/>
      <c r="K194" s="321"/>
      <c r="L194" s="321"/>
      <c r="M194" s="321"/>
      <c r="N194" s="321"/>
      <c r="O194" s="321"/>
      <c r="P194" s="321"/>
    </row>
    <row r="195" spans="5:16">
      <c r="E195" s="318"/>
      <c r="F195" s="318"/>
      <c r="G195" s="319"/>
      <c r="H195" s="320"/>
      <c r="I195" s="320"/>
      <c r="J195" s="320"/>
      <c r="K195" s="321"/>
      <c r="L195" s="321"/>
      <c r="M195" s="321"/>
      <c r="N195" s="321"/>
      <c r="O195" s="321"/>
      <c r="P195" s="321"/>
    </row>
  </sheetData>
  <mergeCells count="320">
    <mergeCell ref="E9:F9"/>
    <mergeCell ref="U9:V9"/>
    <mergeCell ref="AI9:AJ9"/>
    <mergeCell ref="E10:F10"/>
    <mergeCell ref="U10:V10"/>
    <mergeCell ref="AI10:AJ10"/>
    <mergeCell ref="E11:F11"/>
    <mergeCell ref="U11:V11"/>
    <mergeCell ref="AI11:AJ11"/>
    <mergeCell ref="E12:F12"/>
    <mergeCell ref="U12:V12"/>
    <mergeCell ref="AI12:AJ12"/>
    <mergeCell ref="E13:P13"/>
    <mergeCell ref="U13:AF13"/>
    <mergeCell ref="AI13:AT13"/>
    <mergeCell ref="E15:P15"/>
    <mergeCell ref="U15:AF15"/>
    <mergeCell ref="AI15:AT15"/>
    <mergeCell ref="F16:J16"/>
    <mergeCell ref="K16:P16"/>
    <mergeCell ref="V16:Z16"/>
    <mergeCell ref="AA16:AF16"/>
    <mergeCell ref="AJ16:AN16"/>
    <mergeCell ref="AO16:AT16"/>
    <mergeCell ref="L17:N17"/>
    <mergeCell ref="AB17:AD17"/>
    <mergeCell ref="AP17:AR17"/>
    <mergeCell ref="K17:K18"/>
    <mergeCell ref="O17:O18"/>
    <mergeCell ref="P17:P18"/>
    <mergeCell ref="Y17:Y18"/>
    <mergeCell ref="Z17:Z18"/>
    <mergeCell ref="AA17:AA18"/>
    <mergeCell ref="AE17:AE18"/>
    <mergeCell ref="AF17:AF18"/>
    <mergeCell ref="AT17:AT18"/>
    <mergeCell ref="AL17:AL18"/>
    <mergeCell ref="AM17:AM18"/>
    <mergeCell ref="AN17:AN18"/>
    <mergeCell ref="AO17:AO18"/>
    <mergeCell ref="AS17:AS18"/>
    <mergeCell ref="E34:F34"/>
    <mergeCell ref="G34:J34"/>
    <mergeCell ref="K34:M34"/>
    <mergeCell ref="N34:P34"/>
    <mergeCell ref="E35:F35"/>
    <mergeCell ref="G35:J35"/>
    <mergeCell ref="K35:M35"/>
    <mergeCell ref="N35:P35"/>
    <mergeCell ref="E36:F36"/>
    <mergeCell ref="G36:J36"/>
    <mergeCell ref="K36:M36"/>
    <mergeCell ref="N36:P36"/>
    <mergeCell ref="E37:F37"/>
    <mergeCell ref="G37:J37"/>
    <mergeCell ref="K37:M37"/>
    <mergeCell ref="N37:P37"/>
    <mergeCell ref="E38:F38"/>
    <mergeCell ref="G38:J38"/>
    <mergeCell ref="K38:M38"/>
    <mergeCell ref="N38:P38"/>
    <mergeCell ref="AI48:AJ48"/>
    <mergeCell ref="AK48:AN48"/>
    <mergeCell ref="AO48:AQ48"/>
    <mergeCell ref="AR48:AT48"/>
    <mergeCell ref="AI49:AJ49"/>
    <mergeCell ref="AK49:AN49"/>
    <mergeCell ref="AO49:AQ49"/>
    <mergeCell ref="AR49:AT49"/>
    <mergeCell ref="AI50:AJ50"/>
    <mergeCell ref="AK50:AN50"/>
    <mergeCell ref="AO50:AQ50"/>
    <mergeCell ref="AR50:AT50"/>
    <mergeCell ref="AI51:AJ51"/>
    <mergeCell ref="AK51:AN51"/>
    <mergeCell ref="AO51:AQ51"/>
    <mergeCell ref="AR51:AT51"/>
    <mergeCell ref="AI52:AJ52"/>
    <mergeCell ref="AK52:AN52"/>
    <mergeCell ref="AO52:AQ52"/>
    <mergeCell ref="AR52:AT52"/>
    <mergeCell ref="U59:V59"/>
    <mergeCell ref="W59:Z59"/>
    <mergeCell ref="AA59:AC59"/>
    <mergeCell ref="AD59:AF59"/>
    <mergeCell ref="U60:V60"/>
    <mergeCell ref="W60:Z60"/>
    <mergeCell ref="AA60:AC60"/>
    <mergeCell ref="AD60:AF60"/>
    <mergeCell ref="U61:V61"/>
    <mergeCell ref="W61:Z61"/>
    <mergeCell ref="AA61:AC61"/>
    <mergeCell ref="AD61:AF61"/>
    <mergeCell ref="U62:V62"/>
    <mergeCell ref="W62:Z62"/>
    <mergeCell ref="AA62:AC62"/>
    <mergeCell ref="AD62:AF62"/>
    <mergeCell ref="U63:V63"/>
    <mergeCell ref="W63:Z63"/>
    <mergeCell ref="AA63:AC63"/>
    <mergeCell ref="AD63:AF63"/>
    <mergeCell ref="E71:F71"/>
    <mergeCell ref="G71:J71"/>
    <mergeCell ref="K71:M71"/>
    <mergeCell ref="N71:P71"/>
    <mergeCell ref="U71:V71"/>
    <mergeCell ref="W71:Z71"/>
    <mergeCell ref="AA71:AC71"/>
    <mergeCell ref="AD71:AF71"/>
    <mergeCell ref="E72:F72"/>
    <mergeCell ref="G72:J72"/>
    <mergeCell ref="K72:M72"/>
    <mergeCell ref="N72:P72"/>
    <mergeCell ref="U72:V72"/>
    <mergeCell ref="W72:Z72"/>
    <mergeCell ref="AA72:AC72"/>
    <mergeCell ref="AD72:AF72"/>
    <mergeCell ref="E73:F73"/>
    <mergeCell ref="G73:J73"/>
    <mergeCell ref="K73:M73"/>
    <mergeCell ref="N73:P73"/>
    <mergeCell ref="U73:V73"/>
    <mergeCell ref="W73:Z73"/>
    <mergeCell ref="AA73:AC73"/>
    <mergeCell ref="AD73:AF73"/>
    <mergeCell ref="E74:F74"/>
    <mergeCell ref="G74:J74"/>
    <mergeCell ref="K74:M74"/>
    <mergeCell ref="N74:P74"/>
    <mergeCell ref="U74:V74"/>
    <mergeCell ref="W74:Z74"/>
    <mergeCell ref="AA74:AC74"/>
    <mergeCell ref="AD74:AF74"/>
    <mergeCell ref="E75:F75"/>
    <mergeCell ref="G75:J75"/>
    <mergeCell ref="K75:M75"/>
    <mergeCell ref="N75:P75"/>
    <mergeCell ref="U75:V75"/>
    <mergeCell ref="W75:Z75"/>
    <mergeCell ref="AA75:AC75"/>
    <mergeCell ref="AD75:AF75"/>
    <mergeCell ref="E83:F83"/>
    <mergeCell ref="V83:W83"/>
    <mergeCell ref="E84:F84"/>
    <mergeCell ref="V84:W84"/>
    <mergeCell ref="E85:F85"/>
    <mergeCell ref="V85:W85"/>
    <mergeCell ref="E86:F86"/>
    <mergeCell ref="V86:W86"/>
    <mergeCell ref="E87:P87"/>
    <mergeCell ref="V87:AG87"/>
    <mergeCell ref="E89:P89"/>
    <mergeCell ref="V89:AG89"/>
    <mergeCell ref="F90:J90"/>
    <mergeCell ref="K90:P90"/>
    <mergeCell ref="W90:AA90"/>
    <mergeCell ref="AB90:AG90"/>
    <mergeCell ref="L91:N91"/>
    <mergeCell ref="AC91:AE91"/>
    <mergeCell ref="E119:F119"/>
    <mergeCell ref="G119:J119"/>
    <mergeCell ref="K119:M119"/>
    <mergeCell ref="N119:P119"/>
    <mergeCell ref="K91:K92"/>
    <mergeCell ref="O91:O92"/>
    <mergeCell ref="P91:P92"/>
    <mergeCell ref="Y91:Y92"/>
    <mergeCell ref="Z91:Z92"/>
    <mergeCell ref="AA91:AA92"/>
    <mergeCell ref="AB91:AB92"/>
    <mergeCell ref="AF91:AF92"/>
    <mergeCell ref="AG91:AG92"/>
    <mergeCell ref="E120:F120"/>
    <mergeCell ref="G120:J120"/>
    <mergeCell ref="K120:M120"/>
    <mergeCell ref="N120:P120"/>
    <mergeCell ref="E121:F121"/>
    <mergeCell ref="G121:J121"/>
    <mergeCell ref="K121:M121"/>
    <mergeCell ref="N121:P121"/>
    <mergeCell ref="E122:F122"/>
    <mergeCell ref="G122:J122"/>
    <mergeCell ref="K122:M122"/>
    <mergeCell ref="N122:P122"/>
    <mergeCell ref="V122:W122"/>
    <mergeCell ref="X122:AA122"/>
    <mergeCell ref="AB122:AD122"/>
    <mergeCell ref="AE122:AG122"/>
    <mergeCell ref="E123:F123"/>
    <mergeCell ref="G123:J123"/>
    <mergeCell ref="K123:M123"/>
    <mergeCell ref="N123:P123"/>
    <mergeCell ref="V123:W123"/>
    <mergeCell ref="X123:AA123"/>
    <mergeCell ref="AB123:AD123"/>
    <mergeCell ref="AE123:AG123"/>
    <mergeCell ref="AE124:AG124"/>
    <mergeCell ref="V125:W125"/>
    <mergeCell ref="X125:AA125"/>
    <mergeCell ref="AB125:AD125"/>
    <mergeCell ref="AE125:AG125"/>
    <mergeCell ref="V126:W126"/>
    <mergeCell ref="X126:AA126"/>
    <mergeCell ref="AB126:AD126"/>
    <mergeCell ref="AE126:AG126"/>
    <mergeCell ref="V124:W124"/>
    <mergeCell ref="X124:AA124"/>
    <mergeCell ref="AB124:AD124"/>
    <mergeCell ref="E144:F144"/>
    <mergeCell ref="E134:F134"/>
    <mergeCell ref="G134:J134"/>
    <mergeCell ref="K134:M134"/>
    <mergeCell ref="N134:P134"/>
    <mergeCell ref="E135:F135"/>
    <mergeCell ref="G135:J135"/>
    <mergeCell ref="K135:M135"/>
    <mergeCell ref="N135:P135"/>
    <mergeCell ref="E136:F136"/>
    <mergeCell ref="G136:J136"/>
    <mergeCell ref="K136:M136"/>
    <mergeCell ref="N136:P136"/>
    <mergeCell ref="G138:J138"/>
    <mergeCell ref="K138:M138"/>
    <mergeCell ref="N138:P138"/>
    <mergeCell ref="E145:F145"/>
    <mergeCell ref="V145:W145"/>
    <mergeCell ref="X145:AA145"/>
    <mergeCell ref="AB145:AD145"/>
    <mergeCell ref="AE145:AG145"/>
    <mergeCell ref="E146:F146"/>
    <mergeCell ref="V146:W146"/>
    <mergeCell ref="X146:AA146"/>
    <mergeCell ref="AB146:AD146"/>
    <mergeCell ref="AE146:AG146"/>
    <mergeCell ref="E147:F147"/>
    <mergeCell ref="V147:W147"/>
    <mergeCell ref="X147:AA147"/>
    <mergeCell ref="AB147:AD147"/>
    <mergeCell ref="AE147:AG147"/>
    <mergeCell ref="E148:P148"/>
    <mergeCell ref="V148:W148"/>
    <mergeCell ref="X148:AA148"/>
    <mergeCell ref="AB148:AD148"/>
    <mergeCell ref="AE148:AG148"/>
    <mergeCell ref="V149:W149"/>
    <mergeCell ref="X149:AA149"/>
    <mergeCell ref="AB149:AD149"/>
    <mergeCell ref="AE149:AG149"/>
    <mergeCell ref="E150:P150"/>
    <mergeCell ref="F151:J151"/>
    <mergeCell ref="K151:P151"/>
    <mergeCell ref="L152:N152"/>
    <mergeCell ref="E191:F191"/>
    <mergeCell ref="G191:J191"/>
    <mergeCell ref="K191:M191"/>
    <mergeCell ref="N191:P191"/>
    <mergeCell ref="J152:J153"/>
    <mergeCell ref="K152:K153"/>
    <mergeCell ref="O152:O153"/>
    <mergeCell ref="P152:P153"/>
    <mergeCell ref="E192:F192"/>
    <mergeCell ref="G192:J192"/>
    <mergeCell ref="K192:M192"/>
    <mergeCell ref="N192:P192"/>
    <mergeCell ref="E193:F193"/>
    <mergeCell ref="G193:J193"/>
    <mergeCell ref="K193:M193"/>
    <mergeCell ref="N193:P193"/>
    <mergeCell ref="E194:F194"/>
    <mergeCell ref="G194:J194"/>
    <mergeCell ref="K194:M194"/>
    <mergeCell ref="N194:P194"/>
    <mergeCell ref="E195:F195"/>
    <mergeCell ref="G195:J195"/>
    <mergeCell ref="K195:M195"/>
    <mergeCell ref="N195:P195"/>
    <mergeCell ref="E5:E8"/>
    <mergeCell ref="E17:E18"/>
    <mergeCell ref="E79:E82"/>
    <mergeCell ref="E91:E92"/>
    <mergeCell ref="E140:E143"/>
    <mergeCell ref="E152:E153"/>
    <mergeCell ref="F17:F18"/>
    <mergeCell ref="F91:F92"/>
    <mergeCell ref="F152:F153"/>
    <mergeCell ref="G17:G18"/>
    <mergeCell ref="G91:G92"/>
    <mergeCell ref="G152:G153"/>
    <mergeCell ref="H17:H18"/>
    <mergeCell ref="H91:H92"/>
    <mergeCell ref="H152:H153"/>
    <mergeCell ref="I17:I18"/>
    <mergeCell ref="I91:I92"/>
    <mergeCell ref="I152:I153"/>
    <mergeCell ref="J17:J18"/>
    <mergeCell ref="J91:J92"/>
    <mergeCell ref="AJ5:AQ8"/>
    <mergeCell ref="U5:U8"/>
    <mergeCell ref="U17:U18"/>
    <mergeCell ref="V17:V18"/>
    <mergeCell ref="W17:W18"/>
    <mergeCell ref="X17:X18"/>
    <mergeCell ref="F79:M82"/>
    <mergeCell ref="W79:AD82"/>
    <mergeCell ref="F140:M143"/>
    <mergeCell ref="F5:M8"/>
    <mergeCell ref="V5:AC8"/>
    <mergeCell ref="AI5:AI8"/>
    <mergeCell ref="AI17:AI18"/>
    <mergeCell ref="AJ17:AJ18"/>
    <mergeCell ref="AK17:AK18"/>
    <mergeCell ref="V79:V82"/>
    <mergeCell ref="V91:V92"/>
    <mergeCell ref="W91:W92"/>
    <mergeCell ref="X91:X92"/>
    <mergeCell ref="E137:F137"/>
    <mergeCell ref="G137:J137"/>
    <mergeCell ref="K137:M137"/>
    <mergeCell ref="N137:P137"/>
    <mergeCell ref="E138:F138"/>
  </mergeCells>
  <pageMargins left="0.25" right="0.25" top="0.75" bottom="0.75" header="0.3" footer="0.3"/>
  <pageSetup paperSize="9" scale="88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C2:AP73"/>
  <sheetViews>
    <sheetView topLeftCell="A29" zoomScale="55" zoomScaleNormal="55" zoomScaleSheetLayoutView="70" workbookViewId="0">
      <selection activeCell="P2" sqref="P2:AB74"/>
    </sheetView>
  </sheetViews>
  <sheetFormatPr defaultColWidth="9" defaultRowHeight="15"/>
  <cols>
    <col min="13" max="13" width="11.5703125" customWidth="1"/>
  </cols>
  <sheetData>
    <row r="2" spans="3:42">
      <c r="C2" s="206"/>
      <c r="D2" s="211" t="s">
        <v>44</v>
      </c>
      <c r="E2" s="212"/>
      <c r="F2" s="212"/>
      <c r="G2" s="212"/>
      <c r="H2" s="212"/>
      <c r="I2" s="212"/>
      <c r="J2" s="212"/>
      <c r="K2" s="212"/>
      <c r="L2" s="20"/>
      <c r="M2" s="20"/>
      <c r="N2" s="21"/>
      <c r="Q2" s="206"/>
      <c r="R2" s="211" t="s">
        <v>44</v>
      </c>
      <c r="S2" s="212"/>
      <c r="T2" s="212"/>
      <c r="U2" s="212"/>
      <c r="V2" s="212"/>
      <c r="W2" s="212"/>
      <c r="X2" s="212"/>
      <c r="Y2" s="212"/>
      <c r="Z2" s="20"/>
      <c r="AA2" s="20"/>
      <c r="AB2" s="21"/>
      <c r="AE2" s="206"/>
      <c r="AF2" s="211" t="s">
        <v>44</v>
      </c>
      <c r="AG2" s="212"/>
      <c r="AH2" s="212"/>
      <c r="AI2" s="212"/>
      <c r="AJ2" s="212"/>
      <c r="AK2" s="212"/>
      <c r="AL2" s="212"/>
      <c r="AM2" s="212"/>
      <c r="AN2" s="20"/>
      <c r="AO2" s="20"/>
      <c r="AP2" s="21"/>
    </row>
    <row r="3" spans="3:42">
      <c r="C3" s="207"/>
      <c r="D3" s="214"/>
      <c r="E3" s="215"/>
      <c r="F3" s="215"/>
      <c r="G3" s="215"/>
      <c r="H3" s="215"/>
      <c r="I3" s="215"/>
      <c r="J3" s="215"/>
      <c r="K3" s="215"/>
      <c r="N3" s="22"/>
      <c r="Q3" s="207"/>
      <c r="R3" s="214"/>
      <c r="S3" s="215"/>
      <c r="T3" s="215"/>
      <c r="U3" s="215"/>
      <c r="V3" s="215"/>
      <c r="W3" s="215"/>
      <c r="X3" s="215"/>
      <c r="Y3" s="215"/>
      <c r="AB3" s="22"/>
      <c r="AE3" s="207"/>
      <c r="AF3" s="214"/>
      <c r="AG3" s="215"/>
      <c r="AH3" s="215"/>
      <c r="AI3" s="215"/>
      <c r="AJ3" s="215"/>
      <c r="AK3" s="215"/>
      <c r="AL3" s="215"/>
      <c r="AM3" s="215"/>
      <c r="AP3" s="22"/>
    </row>
    <row r="4" spans="3:42">
      <c r="C4" s="207"/>
      <c r="D4" s="214"/>
      <c r="E4" s="215"/>
      <c r="F4" s="215"/>
      <c r="G4" s="215"/>
      <c r="H4" s="215"/>
      <c r="I4" s="215"/>
      <c r="J4" s="215"/>
      <c r="K4" s="215"/>
      <c r="N4" s="22"/>
      <c r="Q4" s="207"/>
      <c r="R4" s="214"/>
      <c r="S4" s="215"/>
      <c r="T4" s="215"/>
      <c r="U4" s="215"/>
      <c r="V4" s="215"/>
      <c r="W4" s="215"/>
      <c r="X4" s="215"/>
      <c r="Y4" s="215"/>
      <c r="AB4" s="22"/>
      <c r="AE4" s="207"/>
      <c r="AF4" s="214"/>
      <c r="AG4" s="215"/>
      <c r="AH4" s="215"/>
      <c r="AI4" s="215"/>
      <c r="AJ4" s="215"/>
      <c r="AK4" s="215"/>
      <c r="AL4" s="215"/>
      <c r="AM4" s="215"/>
      <c r="AP4" s="22"/>
    </row>
    <row r="5" spans="3:42">
      <c r="C5" s="207"/>
      <c r="D5" s="289"/>
      <c r="E5" s="290"/>
      <c r="F5" s="290"/>
      <c r="G5" s="290"/>
      <c r="H5" s="290"/>
      <c r="I5" s="290"/>
      <c r="J5" s="290"/>
      <c r="K5" s="290"/>
      <c r="N5" s="22"/>
      <c r="Q5" s="207"/>
      <c r="R5" s="289"/>
      <c r="S5" s="290"/>
      <c r="T5" s="290"/>
      <c r="U5" s="290"/>
      <c r="V5" s="290"/>
      <c r="W5" s="290"/>
      <c r="X5" s="290"/>
      <c r="Y5" s="290"/>
      <c r="AB5" s="22"/>
      <c r="AE5" s="207"/>
      <c r="AF5" s="289"/>
      <c r="AG5" s="290"/>
      <c r="AH5" s="290"/>
      <c r="AI5" s="290"/>
      <c r="AJ5" s="290"/>
      <c r="AK5" s="290"/>
      <c r="AL5" s="290"/>
      <c r="AM5" s="290"/>
      <c r="AP5" s="22"/>
    </row>
    <row r="6" spans="3:42" ht="16.5">
      <c r="C6" s="223" t="s">
        <v>45</v>
      </c>
      <c r="D6" s="224"/>
      <c r="E6" s="7" t="s">
        <v>46</v>
      </c>
      <c r="F6" s="8"/>
      <c r="G6" s="8"/>
      <c r="H6" s="8"/>
      <c r="I6" s="8"/>
      <c r="J6" s="8"/>
      <c r="K6" s="8"/>
      <c r="L6" s="8"/>
      <c r="M6" s="8"/>
      <c r="N6" s="23"/>
      <c r="Q6" s="223" t="s">
        <v>45</v>
      </c>
      <c r="R6" s="224"/>
      <c r="S6" s="7" t="s">
        <v>46</v>
      </c>
      <c r="T6" s="8"/>
      <c r="U6" s="8"/>
      <c r="V6" s="8"/>
      <c r="W6" s="8"/>
      <c r="X6" s="8"/>
      <c r="Y6" s="8"/>
      <c r="Z6" s="8"/>
      <c r="AA6" s="8"/>
      <c r="AB6" s="23"/>
      <c r="AE6" s="223" t="s">
        <v>45</v>
      </c>
      <c r="AF6" s="224"/>
      <c r="AG6" s="7" t="s">
        <v>46</v>
      </c>
      <c r="AH6" s="8"/>
      <c r="AI6" s="8"/>
      <c r="AJ6" s="8"/>
      <c r="AK6" s="8"/>
      <c r="AL6" s="8"/>
      <c r="AM6" s="8"/>
      <c r="AN6" s="8"/>
      <c r="AO6" s="8"/>
      <c r="AP6" s="23"/>
    </row>
    <row r="7" spans="3:42" ht="16.5">
      <c r="C7" s="223" t="s">
        <v>48</v>
      </c>
      <c r="D7" s="224"/>
      <c r="E7" s="7" t="s">
        <v>49</v>
      </c>
      <c r="F7" s="8"/>
      <c r="G7" s="8"/>
      <c r="H7" s="8"/>
      <c r="I7" s="8"/>
      <c r="J7" s="8"/>
      <c r="K7" s="8"/>
      <c r="L7" s="8"/>
      <c r="M7" s="8"/>
      <c r="N7" s="23"/>
      <c r="Q7" s="223" t="s">
        <v>48</v>
      </c>
      <c r="R7" s="224"/>
      <c r="S7" s="7" t="s">
        <v>49</v>
      </c>
      <c r="T7" s="8"/>
      <c r="U7" s="8"/>
      <c r="V7" s="8"/>
      <c r="W7" s="8"/>
      <c r="X7" s="8"/>
      <c r="Y7" s="8"/>
      <c r="Z7" s="8"/>
      <c r="AA7" s="8"/>
      <c r="AB7" s="23"/>
      <c r="AE7" s="223" t="s">
        <v>48</v>
      </c>
      <c r="AF7" s="224"/>
      <c r="AG7" s="7" t="s">
        <v>49</v>
      </c>
      <c r="AH7" s="8"/>
      <c r="AI7" s="8"/>
      <c r="AJ7" s="8"/>
      <c r="AK7" s="8"/>
      <c r="AL7" s="8"/>
      <c r="AM7" s="8"/>
      <c r="AN7" s="8"/>
      <c r="AO7" s="8"/>
      <c r="AP7" s="23"/>
    </row>
    <row r="8" spans="3:42" ht="16.5">
      <c r="C8" s="225" t="s">
        <v>50</v>
      </c>
      <c r="D8" s="226"/>
      <c r="E8" s="7" t="s">
        <v>51</v>
      </c>
      <c r="F8" s="8"/>
      <c r="G8" s="8"/>
      <c r="H8" s="8"/>
      <c r="I8" s="8"/>
      <c r="J8" s="8"/>
      <c r="K8" s="8"/>
      <c r="L8" s="8"/>
      <c r="M8" s="8"/>
      <c r="N8" s="23"/>
      <c r="Q8" s="225" t="s">
        <v>50</v>
      </c>
      <c r="R8" s="226"/>
      <c r="S8" s="7" t="s">
        <v>51</v>
      </c>
      <c r="T8" s="8"/>
      <c r="U8" s="8"/>
      <c r="V8" s="8"/>
      <c r="W8" s="8"/>
      <c r="X8" s="8"/>
      <c r="Y8" s="8"/>
      <c r="Z8" s="8"/>
      <c r="AA8" s="8"/>
      <c r="AB8" s="23"/>
      <c r="AE8" s="225" t="s">
        <v>50</v>
      </c>
      <c r="AF8" s="226"/>
      <c r="AG8" s="7" t="s">
        <v>51</v>
      </c>
      <c r="AH8" s="8"/>
      <c r="AI8" s="8"/>
      <c r="AJ8" s="8"/>
      <c r="AK8" s="8"/>
      <c r="AL8" s="8"/>
      <c r="AM8" s="8"/>
      <c r="AN8" s="8"/>
      <c r="AO8" s="8"/>
      <c r="AP8" s="23"/>
    </row>
    <row r="9" spans="3:42" ht="16.5">
      <c r="C9" s="223" t="s">
        <v>52</v>
      </c>
      <c r="D9" s="224"/>
      <c r="E9" s="7" t="s">
        <v>53</v>
      </c>
      <c r="F9" s="8"/>
      <c r="G9" s="8"/>
      <c r="H9" s="8"/>
      <c r="I9" s="8"/>
      <c r="J9" s="8"/>
      <c r="K9" s="8"/>
      <c r="L9" s="8"/>
      <c r="M9" s="8"/>
      <c r="N9" s="23"/>
      <c r="Q9" s="223" t="s">
        <v>52</v>
      </c>
      <c r="R9" s="224"/>
      <c r="S9" s="7" t="s">
        <v>53</v>
      </c>
      <c r="T9" s="8"/>
      <c r="U9" s="8"/>
      <c r="V9" s="8"/>
      <c r="W9" s="8"/>
      <c r="X9" s="8"/>
      <c r="Y9" s="8"/>
      <c r="Z9" s="8"/>
      <c r="AA9" s="8"/>
      <c r="AB9" s="23"/>
      <c r="AE9" s="223" t="s">
        <v>52</v>
      </c>
      <c r="AF9" s="224"/>
      <c r="AG9" s="7" t="s">
        <v>53</v>
      </c>
      <c r="AH9" s="8"/>
      <c r="AI9" s="8"/>
      <c r="AJ9" s="8"/>
      <c r="AK9" s="8"/>
      <c r="AL9" s="8"/>
      <c r="AM9" s="8"/>
      <c r="AN9" s="8"/>
      <c r="AO9" s="8"/>
      <c r="AP9" s="23"/>
    </row>
    <row r="10" spans="3:42" ht="15.75">
      <c r="C10" s="227" t="s">
        <v>1025</v>
      </c>
      <c r="D10" s="228"/>
      <c r="E10" s="228"/>
      <c r="F10" s="228"/>
      <c r="G10" s="228"/>
      <c r="H10" s="228"/>
      <c r="I10" s="228"/>
      <c r="J10" s="228"/>
      <c r="K10" s="228"/>
      <c r="L10" s="228"/>
      <c r="M10" s="228"/>
      <c r="N10" s="229"/>
      <c r="Q10" s="227" t="s">
        <v>1025</v>
      </c>
      <c r="R10" s="228"/>
      <c r="S10" s="228"/>
      <c r="T10" s="228"/>
      <c r="U10" s="228"/>
      <c r="V10" s="228"/>
      <c r="W10" s="228"/>
      <c r="X10" s="228"/>
      <c r="Y10" s="228"/>
      <c r="Z10" s="228"/>
      <c r="AA10" s="228"/>
      <c r="AB10" s="229"/>
      <c r="AE10" s="227" t="s">
        <v>1025</v>
      </c>
      <c r="AF10" s="228"/>
      <c r="AG10" s="228"/>
      <c r="AH10" s="228"/>
      <c r="AI10" s="228"/>
      <c r="AJ10" s="228"/>
      <c r="AK10" s="228"/>
      <c r="AL10" s="228"/>
      <c r="AM10" s="228"/>
      <c r="AN10" s="228"/>
      <c r="AO10" s="228"/>
      <c r="AP10" s="229"/>
    </row>
    <row r="11" spans="3:42" ht="15.75">
      <c r="C11" s="11" t="s">
        <v>55</v>
      </c>
      <c r="E11" s="12"/>
      <c r="F11" s="12"/>
      <c r="G11" s="12"/>
      <c r="H11" s="12"/>
      <c r="I11" s="24" t="s">
        <v>56</v>
      </c>
      <c r="J11" s="25"/>
      <c r="K11" s="12"/>
      <c r="L11" s="12"/>
      <c r="M11" s="12"/>
      <c r="N11" s="26"/>
      <c r="Q11" s="11" t="s">
        <v>55</v>
      </c>
      <c r="S11" s="12"/>
      <c r="T11" s="12"/>
      <c r="U11" s="12"/>
      <c r="V11" s="12"/>
      <c r="W11" s="24" t="s">
        <v>56</v>
      </c>
      <c r="X11" s="25"/>
      <c r="Y11" s="12"/>
      <c r="Z11" s="12"/>
      <c r="AA11" s="12"/>
      <c r="AB11" s="26"/>
      <c r="AE11" s="11" t="s">
        <v>55</v>
      </c>
      <c r="AG11" s="12"/>
      <c r="AH11" s="12"/>
      <c r="AI11" s="12"/>
      <c r="AJ11" s="12"/>
      <c r="AK11" s="24" t="s">
        <v>56</v>
      </c>
      <c r="AL11" s="25"/>
      <c r="AM11" s="12"/>
      <c r="AN11" s="12"/>
      <c r="AO11" s="12"/>
      <c r="AP11" s="26"/>
    </row>
    <row r="12" spans="3:42">
      <c r="C12" s="217"/>
      <c r="D12" s="218"/>
      <c r="E12" s="218"/>
      <c r="F12" s="218"/>
      <c r="G12" s="218"/>
      <c r="H12" s="218"/>
      <c r="I12" s="218"/>
      <c r="J12" s="218"/>
      <c r="K12" s="218"/>
      <c r="L12" s="218"/>
      <c r="M12" s="218"/>
      <c r="N12" s="219"/>
      <c r="Q12" s="217"/>
      <c r="R12" s="218"/>
      <c r="S12" s="218"/>
      <c r="T12" s="218"/>
      <c r="U12" s="218"/>
      <c r="V12" s="218"/>
      <c r="W12" s="218"/>
      <c r="X12" s="218"/>
      <c r="Y12" s="218"/>
      <c r="Z12" s="218"/>
      <c r="AA12" s="218"/>
      <c r="AB12" s="219"/>
      <c r="AE12" s="217"/>
      <c r="AF12" s="218"/>
      <c r="AG12" s="218"/>
      <c r="AH12" s="218"/>
      <c r="AI12" s="218"/>
      <c r="AJ12" s="218"/>
      <c r="AK12" s="218"/>
      <c r="AL12" s="218"/>
      <c r="AM12" s="218"/>
      <c r="AN12" s="218"/>
      <c r="AO12" s="218"/>
      <c r="AP12" s="219"/>
    </row>
    <row r="13" spans="3:42" ht="15.75">
      <c r="C13" s="15" t="s">
        <v>103</v>
      </c>
      <c r="D13" s="355"/>
      <c r="E13" s="356"/>
      <c r="F13" s="356"/>
      <c r="G13" s="356"/>
      <c r="H13" s="357"/>
      <c r="I13" s="368" t="s">
        <v>542</v>
      </c>
      <c r="J13" s="369"/>
      <c r="K13" s="369"/>
      <c r="L13" s="369"/>
      <c r="M13" s="369"/>
      <c r="N13" s="370"/>
      <c r="Q13" s="15" t="s">
        <v>103</v>
      </c>
      <c r="R13" s="355"/>
      <c r="S13" s="356"/>
      <c r="T13" s="356"/>
      <c r="U13" s="356"/>
      <c r="V13" s="357"/>
      <c r="W13" s="368" t="s">
        <v>542</v>
      </c>
      <c r="X13" s="369"/>
      <c r="Y13" s="369"/>
      <c r="Z13" s="369"/>
      <c r="AA13" s="369"/>
      <c r="AB13" s="370"/>
      <c r="AE13" s="15" t="s">
        <v>103</v>
      </c>
      <c r="AF13" s="355"/>
      <c r="AG13" s="356"/>
      <c r="AH13" s="356"/>
      <c r="AI13" s="356"/>
      <c r="AJ13" s="357"/>
      <c r="AK13" s="368" t="s">
        <v>542</v>
      </c>
      <c r="AL13" s="369"/>
      <c r="AM13" s="369"/>
      <c r="AN13" s="369"/>
      <c r="AO13" s="369"/>
      <c r="AP13" s="370"/>
    </row>
    <row r="14" spans="3:42">
      <c r="C14" s="329" t="s">
        <v>59</v>
      </c>
      <c r="D14" s="209" t="s">
        <v>60</v>
      </c>
      <c r="E14" s="209" t="s">
        <v>659</v>
      </c>
      <c r="F14" s="209" t="s">
        <v>62</v>
      </c>
      <c r="G14" s="209" t="s">
        <v>63</v>
      </c>
      <c r="H14" s="209" t="s">
        <v>64</v>
      </c>
      <c r="I14" s="209" t="s">
        <v>65</v>
      </c>
      <c r="J14" s="342" t="s">
        <v>66</v>
      </c>
      <c r="K14" s="343"/>
      <c r="L14" s="344"/>
      <c r="M14" s="209" t="s">
        <v>30</v>
      </c>
      <c r="N14" s="328" t="s">
        <v>67</v>
      </c>
      <c r="Q14" s="329" t="s">
        <v>59</v>
      </c>
      <c r="R14" s="209" t="s">
        <v>60</v>
      </c>
      <c r="S14" s="209" t="s">
        <v>659</v>
      </c>
      <c r="T14" s="209" t="s">
        <v>62</v>
      </c>
      <c r="U14" s="209" t="s">
        <v>63</v>
      </c>
      <c r="V14" s="209" t="s">
        <v>64</v>
      </c>
      <c r="W14" s="209" t="s">
        <v>65</v>
      </c>
      <c r="X14" s="342" t="s">
        <v>66</v>
      </c>
      <c r="Y14" s="343"/>
      <c r="Z14" s="344"/>
      <c r="AA14" s="209" t="s">
        <v>30</v>
      </c>
      <c r="AB14" s="328" t="s">
        <v>67</v>
      </c>
      <c r="AE14" s="329" t="s">
        <v>59</v>
      </c>
      <c r="AF14" s="209" t="s">
        <v>60</v>
      </c>
      <c r="AG14" s="209" t="s">
        <v>659</v>
      </c>
      <c r="AH14" s="209" t="s">
        <v>62</v>
      </c>
      <c r="AI14" s="209" t="s">
        <v>63</v>
      </c>
      <c r="AJ14" s="209" t="s">
        <v>64</v>
      </c>
      <c r="AK14" s="209" t="s">
        <v>65</v>
      </c>
      <c r="AL14" s="342" t="s">
        <v>66</v>
      </c>
      <c r="AM14" s="343"/>
      <c r="AN14" s="344"/>
      <c r="AO14" s="209" t="s">
        <v>30</v>
      </c>
      <c r="AP14" s="328" t="s">
        <v>67</v>
      </c>
    </row>
    <row r="15" spans="3:42" ht="60">
      <c r="C15" s="359"/>
      <c r="D15" s="292"/>
      <c r="E15" s="292"/>
      <c r="F15" s="292"/>
      <c r="G15" s="292"/>
      <c r="H15" s="292"/>
      <c r="I15" s="292"/>
      <c r="J15" s="17" t="s">
        <v>68</v>
      </c>
      <c r="K15" s="28" t="s">
        <v>999</v>
      </c>
      <c r="L15" s="17" t="s">
        <v>70</v>
      </c>
      <c r="M15" s="292"/>
      <c r="N15" s="360"/>
      <c r="Q15" s="359"/>
      <c r="R15" s="292"/>
      <c r="S15" s="292"/>
      <c r="T15" s="292"/>
      <c r="U15" s="292"/>
      <c r="V15" s="292"/>
      <c r="W15" s="292"/>
      <c r="X15" s="17" t="s">
        <v>68</v>
      </c>
      <c r="Y15" s="28" t="s">
        <v>999</v>
      </c>
      <c r="Z15" s="17" t="s">
        <v>70</v>
      </c>
      <c r="AA15" s="292"/>
      <c r="AB15" s="360"/>
      <c r="AE15" s="359"/>
      <c r="AF15" s="292"/>
      <c r="AG15" s="292"/>
      <c r="AH15" s="292"/>
      <c r="AI15" s="292"/>
      <c r="AJ15" s="292"/>
      <c r="AK15" s="292"/>
      <c r="AL15" s="17" t="s">
        <v>68</v>
      </c>
      <c r="AM15" s="28" t="s">
        <v>999</v>
      </c>
      <c r="AN15" s="17" t="s">
        <v>70</v>
      </c>
      <c r="AO15" s="292"/>
      <c r="AP15" s="360"/>
    </row>
    <row r="16" spans="3:42">
      <c r="C16" s="29">
        <v>1</v>
      </c>
      <c r="D16" s="29" t="s">
        <v>71</v>
      </c>
      <c r="E16" s="29">
        <v>140</v>
      </c>
      <c r="F16" s="29" t="s">
        <v>474</v>
      </c>
      <c r="G16" s="29" t="s">
        <v>486</v>
      </c>
      <c r="H16" s="29">
        <v>39.299999999999997</v>
      </c>
      <c r="I16" s="29" t="s">
        <v>276</v>
      </c>
      <c r="J16" s="29">
        <v>3</v>
      </c>
      <c r="K16" s="29">
        <v>3.1</v>
      </c>
      <c r="L16" s="29">
        <v>6.1</v>
      </c>
      <c r="M16" s="29"/>
      <c r="N16" s="29"/>
      <c r="Q16" s="29">
        <v>1</v>
      </c>
      <c r="R16" s="29" t="s">
        <v>71</v>
      </c>
      <c r="S16" s="29">
        <v>63</v>
      </c>
      <c r="T16" s="29" t="s">
        <v>359</v>
      </c>
      <c r="U16" s="29" t="s">
        <v>331</v>
      </c>
      <c r="V16" s="29">
        <v>3</v>
      </c>
      <c r="W16" s="29" t="s">
        <v>276</v>
      </c>
      <c r="X16" s="29">
        <v>3</v>
      </c>
      <c r="Y16" s="29">
        <v>3.1</v>
      </c>
      <c r="Z16" s="29">
        <v>6.1</v>
      </c>
      <c r="AA16" s="29"/>
      <c r="AB16" s="29"/>
      <c r="AE16" s="29">
        <v>1</v>
      </c>
      <c r="AF16" s="29" t="s">
        <v>71</v>
      </c>
      <c r="AG16" s="29">
        <v>63</v>
      </c>
      <c r="AH16" s="29" t="s">
        <v>326</v>
      </c>
      <c r="AI16" s="29" t="s">
        <v>470</v>
      </c>
      <c r="AJ16" s="29">
        <v>83.6</v>
      </c>
      <c r="AK16" s="29" t="s">
        <v>276</v>
      </c>
      <c r="AL16" s="29">
        <v>3</v>
      </c>
      <c r="AM16" s="29">
        <v>3.1</v>
      </c>
      <c r="AN16" s="29">
        <v>6.1</v>
      </c>
      <c r="AO16" s="29"/>
      <c r="AP16" s="29"/>
    </row>
    <row r="17" spans="3:42">
      <c r="C17" s="29">
        <f>1+C16</f>
        <v>2</v>
      </c>
      <c r="D17" s="29" t="s">
        <v>71</v>
      </c>
      <c r="E17" s="29">
        <v>140</v>
      </c>
      <c r="F17" s="29" t="s">
        <v>486</v>
      </c>
      <c r="G17" s="29" t="s">
        <v>423</v>
      </c>
      <c r="H17" s="29">
        <v>48.5</v>
      </c>
      <c r="I17" s="29" t="s">
        <v>276</v>
      </c>
      <c r="J17" s="29">
        <v>3</v>
      </c>
      <c r="K17" s="29">
        <v>3.1</v>
      </c>
      <c r="L17" s="29">
        <v>6.1</v>
      </c>
      <c r="M17" s="29"/>
      <c r="N17" s="29"/>
      <c r="Q17" s="29">
        <f>1+Q16</f>
        <v>2</v>
      </c>
      <c r="R17" s="29" t="s">
        <v>71</v>
      </c>
      <c r="S17" s="29">
        <v>63</v>
      </c>
      <c r="T17" s="29" t="s">
        <v>359</v>
      </c>
      <c r="U17" s="29" t="s">
        <v>331</v>
      </c>
      <c r="V17" s="29">
        <f>105.4-3</f>
        <v>102.4</v>
      </c>
      <c r="W17" s="29" t="s">
        <v>276</v>
      </c>
      <c r="X17" s="29">
        <v>3</v>
      </c>
      <c r="Y17" s="29">
        <v>3.1</v>
      </c>
      <c r="Z17" s="29">
        <v>6.1</v>
      </c>
      <c r="AA17" s="29"/>
      <c r="AB17" s="29"/>
      <c r="AE17" s="29">
        <f>1+AE16</f>
        <v>2</v>
      </c>
      <c r="AF17" s="29" t="s">
        <v>71</v>
      </c>
      <c r="AG17" s="29">
        <v>63</v>
      </c>
      <c r="AH17" s="29" t="s">
        <v>470</v>
      </c>
      <c r="AI17" s="29" t="s">
        <v>918</v>
      </c>
      <c r="AJ17" s="29">
        <v>122.8</v>
      </c>
      <c r="AK17" s="29" t="s">
        <v>276</v>
      </c>
      <c r="AL17" s="29">
        <v>3</v>
      </c>
      <c r="AM17" s="29">
        <v>3.1</v>
      </c>
      <c r="AN17" s="29">
        <v>6.1</v>
      </c>
      <c r="AO17" s="29"/>
      <c r="AP17" s="29"/>
    </row>
    <row r="18" spans="3:42">
      <c r="C18" s="29">
        <f t="shared" ref="C18:C45" si="0">1+C17</f>
        <v>3</v>
      </c>
      <c r="D18" s="29" t="s">
        <v>71</v>
      </c>
      <c r="E18" s="29">
        <v>140</v>
      </c>
      <c r="F18" s="29" t="s">
        <v>423</v>
      </c>
      <c r="G18" s="29" t="s">
        <v>383</v>
      </c>
      <c r="H18" s="29">
        <v>17.5</v>
      </c>
      <c r="I18" s="29" t="s">
        <v>276</v>
      </c>
      <c r="J18" s="29">
        <v>3</v>
      </c>
      <c r="K18" s="29">
        <v>3.1</v>
      </c>
      <c r="L18" s="29">
        <v>6.1</v>
      </c>
      <c r="M18" s="29"/>
      <c r="N18" s="29"/>
      <c r="Q18" s="29">
        <f t="shared" ref="Q18:Q67" si="1">1+Q17</f>
        <v>3</v>
      </c>
      <c r="R18" s="29" t="s">
        <v>71</v>
      </c>
      <c r="S18" s="29">
        <v>63</v>
      </c>
      <c r="T18" s="29" t="s">
        <v>331</v>
      </c>
      <c r="U18" s="29" t="s">
        <v>450</v>
      </c>
      <c r="V18" s="29">
        <v>108.8</v>
      </c>
      <c r="W18" s="29" t="s">
        <v>276</v>
      </c>
      <c r="X18" s="29">
        <v>3</v>
      </c>
      <c r="Y18" s="29">
        <v>3.1</v>
      </c>
      <c r="Z18" s="29">
        <v>6.1</v>
      </c>
      <c r="AA18" s="29"/>
      <c r="AB18" s="29"/>
      <c r="AE18" s="29">
        <f t="shared" ref="AE18:AE52" si="2">1+AE17</f>
        <v>3</v>
      </c>
      <c r="AF18" s="29" t="s">
        <v>71</v>
      </c>
      <c r="AG18" s="29">
        <v>63</v>
      </c>
      <c r="AH18" s="29" t="s">
        <v>918</v>
      </c>
      <c r="AI18" s="29" t="s">
        <v>355</v>
      </c>
      <c r="AJ18" s="29">
        <v>17.100000000000001</v>
      </c>
      <c r="AK18" s="29" t="s">
        <v>276</v>
      </c>
      <c r="AL18" s="29">
        <v>3</v>
      </c>
      <c r="AM18" s="29">
        <v>3.1</v>
      </c>
      <c r="AN18" s="29">
        <v>6.1</v>
      </c>
      <c r="AO18" s="29"/>
      <c r="AP18" s="29"/>
    </row>
    <row r="19" spans="3:42">
      <c r="C19" s="29">
        <f t="shared" si="0"/>
        <v>4</v>
      </c>
      <c r="D19" s="29" t="s">
        <v>71</v>
      </c>
      <c r="E19" s="29">
        <v>140</v>
      </c>
      <c r="F19" s="29" t="s">
        <v>383</v>
      </c>
      <c r="G19" s="29" t="s">
        <v>455</v>
      </c>
      <c r="H19" s="29">
        <v>130.80000000000001</v>
      </c>
      <c r="I19" s="29" t="s">
        <v>276</v>
      </c>
      <c r="J19" s="29">
        <v>3</v>
      </c>
      <c r="K19" s="29">
        <v>3.1</v>
      </c>
      <c r="L19" s="29">
        <v>6.1</v>
      </c>
      <c r="M19" s="29"/>
      <c r="N19" s="29"/>
      <c r="Q19" s="29">
        <f t="shared" si="1"/>
        <v>4</v>
      </c>
      <c r="R19" s="29" t="s">
        <v>71</v>
      </c>
      <c r="S19" s="29">
        <v>63</v>
      </c>
      <c r="T19" s="29" t="s">
        <v>321</v>
      </c>
      <c r="U19" s="29" t="s">
        <v>1026</v>
      </c>
      <c r="V19" s="29">
        <v>270.89999999999998</v>
      </c>
      <c r="W19" s="29" t="s">
        <v>276</v>
      </c>
      <c r="X19" s="29">
        <v>3</v>
      </c>
      <c r="Y19" s="29">
        <v>3.1</v>
      </c>
      <c r="Z19" s="29">
        <v>6.1</v>
      </c>
      <c r="AA19" s="29"/>
      <c r="AB19" s="29"/>
      <c r="AE19" s="29">
        <f t="shared" si="2"/>
        <v>4</v>
      </c>
      <c r="AF19" s="29" t="s">
        <v>71</v>
      </c>
      <c r="AG19" s="29">
        <v>63</v>
      </c>
      <c r="AH19" s="29" t="s">
        <v>355</v>
      </c>
      <c r="AI19" s="29" t="s">
        <v>496</v>
      </c>
      <c r="AJ19" s="29">
        <v>345.3</v>
      </c>
      <c r="AK19" s="29" t="s">
        <v>276</v>
      </c>
      <c r="AL19" s="29">
        <v>3</v>
      </c>
      <c r="AM19" s="29">
        <v>3.1</v>
      </c>
      <c r="AN19" s="29">
        <v>6.1</v>
      </c>
      <c r="AO19" s="29"/>
      <c r="AP19" s="29"/>
    </row>
    <row r="20" spans="3:42">
      <c r="C20" s="29">
        <f t="shared" si="0"/>
        <v>5</v>
      </c>
      <c r="D20" s="29" t="s">
        <v>71</v>
      </c>
      <c r="E20" s="29">
        <v>140</v>
      </c>
      <c r="F20" s="29" t="s">
        <v>474</v>
      </c>
      <c r="G20" s="29" t="s">
        <v>345</v>
      </c>
      <c r="H20" s="29">
        <v>219.9</v>
      </c>
      <c r="I20" s="29" t="s">
        <v>276</v>
      </c>
      <c r="J20" s="29">
        <v>3</v>
      </c>
      <c r="K20" s="29">
        <v>3.1</v>
      </c>
      <c r="L20" s="29">
        <v>6.1</v>
      </c>
      <c r="M20" s="29"/>
      <c r="N20" s="29"/>
      <c r="Q20" s="29">
        <f t="shared" si="1"/>
        <v>5</v>
      </c>
      <c r="R20" s="29" t="s">
        <v>71</v>
      </c>
      <c r="S20" s="29">
        <v>63</v>
      </c>
      <c r="T20" s="29" t="s">
        <v>1026</v>
      </c>
      <c r="U20" s="29" t="s">
        <v>909</v>
      </c>
      <c r="V20" s="29">
        <v>122.5</v>
      </c>
      <c r="W20" s="29" t="s">
        <v>276</v>
      </c>
      <c r="X20" s="29">
        <v>3</v>
      </c>
      <c r="Y20" s="29">
        <v>3.1</v>
      </c>
      <c r="Z20" s="29">
        <v>6.1</v>
      </c>
      <c r="AA20" s="29"/>
      <c r="AB20" s="29"/>
      <c r="AE20" s="29">
        <f t="shared" si="2"/>
        <v>5</v>
      </c>
      <c r="AF20" s="29" t="s">
        <v>71</v>
      </c>
      <c r="AG20" s="29">
        <v>63</v>
      </c>
      <c r="AH20" s="29" t="s">
        <v>355</v>
      </c>
      <c r="AI20" s="29" t="s">
        <v>301</v>
      </c>
      <c r="AJ20" s="29">
        <v>105.2</v>
      </c>
      <c r="AK20" s="29" t="s">
        <v>276</v>
      </c>
      <c r="AL20" s="29">
        <v>3</v>
      </c>
      <c r="AM20" s="29">
        <v>3.1</v>
      </c>
      <c r="AN20" s="29">
        <v>6.1</v>
      </c>
      <c r="AO20" s="29"/>
      <c r="AP20" s="29"/>
    </row>
    <row r="21" spans="3:42">
      <c r="C21" s="29">
        <f t="shared" si="0"/>
        <v>6</v>
      </c>
      <c r="D21" s="29" t="s">
        <v>71</v>
      </c>
      <c r="E21" s="29">
        <v>125</v>
      </c>
      <c r="F21" s="29" t="s">
        <v>345</v>
      </c>
      <c r="G21" s="29" t="s">
        <v>351</v>
      </c>
      <c r="H21" s="29">
        <v>31.1</v>
      </c>
      <c r="I21" s="29" t="s">
        <v>276</v>
      </c>
      <c r="J21" s="29">
        <v>3</v>
      </c>
      <c r="K21" s="29">
        <v>3.1</v>
      </c>
      <c r="L21" s="29">
        <v>6.1</v>
      </c>
      <c r="M21" s="29"/>
      <c r="N21" s="29"/>
      <c r="Q21" s="29">
        <f t="shared" si="1"/>
        <v>6</v>
      </c>
      <c r="R21" s="29" t="s">
        <v>71</v>
      </c>
      <c r="S21" s="29">
        <v>63</v>
      </c>
      <c r="T21" s="29" t="s">
        <v>909</v>
      </c>
      <c r="U21" s="29" t="s">
        <v>922</v>
      </c>
      <c r="V21" s="29">
        <v>216.7</v>
      </c>
      <c r="W21" s="29" t="s">
        <v>276</v>
      </c>
      <c r="X21" s="29">
        <v>3</v>
      </c>
      <c r="Y21" s="29">
        <v>3.1</v>
      </c>
      <c r="Z21" s="29">
        <v>6.1</v>
      </c>
      <c r="AA21" s="29"/>
      <c r="AB21" s="29"/>
      <c r="AE21" s="29">
        <f t="shared" si="2"/>
        <v>6</v>
      </c>
      <c r="AF21" s="29" t="s">
        <v>71</v>
      </c>
      <c r="AG21" s="29">
        <v>63</v>
      </c>
      <c r="AH21" s="29" t="s">
        <v>301</v>
      </c>
      <c r="AI21" s="29" t="s">
        <v>317</v>
      </c>
      <c r="AJ21" s="29">
        <v>33.5</v>
      </c>
      <c r="AK21" s="29" t="s">
        <v>276</v>
      </c>
      <c r="AL21" s="29">
        <v>3</v>
      </c>
      <c r="AM21" s="29">
        <v>3.1</v>
      </c>
      <c r="AN21" s="29">
        <v>6.1</v>
      </c>
      <c r="AO21" s="29"/>
      <c r="AP21" s="29"/>
    </row>
    <row r="22" spans="3:42">
      <c r="C22" s="29">
        <f t="shared" si="0"/>
        <v>7</v>
      </c>
      <c r="D22" s="29" t="s">
        <v>71</v>
      </c>
      <c r="E22" s="29">
        <v>125</v>
      </c>
      <c r="F22" s="29" t="s">
        <v>303</v>
      </c>
      <c r="G22" s="29" t="s">
        <v>394</v>
      </c>
      <c r="H22" s="29">
        <v>91.6</v>
      </c>
      <c r="I22" s="29" t="s">
        <v>276</v>
      </c>
      <c r="J22" s="29">
        <v>3</v>
      </c>
      <c r="K22" s="29">
        <v>3.1</v>
      </c>
      <c r="L22" s="29">
        <v>6.1</v>
      </c>
      <c r="M22" s="29"/>
      <c r="N22" s="29"/>
      <c r="Q22" s="29">
        <f t="shared" si="1"/>
        <v>7</v>
      </c>
      <c r="R22" s="29" t="s">
        <v>71</v>
      </c>
      <c r="S22" s="29">
        <v>63</v>
      </c>
      <c r="T22" s="29" t="s">
        <v>909</v>
      </c>
      <c r="U22" s="29" t="s">
        <v>324</v>
      </c>
      <c r="V22" s="29">
        <v>4.0999999999999996</v>
      </c>
      <c r="W22" s="29" t="s">
        <v>276</v>
      </c>
      <c r="X22" s="29">
        <v>3</v>
      </c>
      <c r="Y22" s="29">
        <v>3.1</v>
      </c>
      <c r="Z22" s="29">
        <v>6.1</v>
      </c>
      <c r="AA22" s="29"/>
      <c r="AB22" s="29"/>
      <c r="AE22" s="29">
        <f t="shared" si="2"/>
        <v>7</v>
      </c>
      <c r="AF22" s="29" t="s">
        <v>71</v>
      </c>
      <c r="AG22" s="29">
        <v>63</v>
      </c>
      <c r="AH22" s="29" t="s">
        <v>460</v>
      </c>
      <c r="AI22" s="29" t="s">
        <v>993</v>
      </c>
      <c r="AJ22" s="29">
        <v>66.2</v>
      </c>
      <c r="AK22" s="29" t="s">
        <v>276</v>
      </c>
      <c r="AL22" s="29">
        <v>3</v>
      </c>
      <c r="AM22" s="29">
        <v>3.1</v>
      </c>
      <c r="AN22" s="29">
        <v>6.1</v>
      </c>
      <c r="AO22" s="29"/>
      <c r="AP22" s="29"/>
    </row>
    <row r="23" spans="3:42">
      <c r="C23" s="29">
        <f t="shared" si="0"/>
        <v>8</v>
      </c>
      <c r="D23" s="29" t="s">
        <v>71</v>
      </c>
      <c r="E23" s="29">
        <v>125</v>
      </c>
      <c r="F23" s="29" t="s">
        <v>394</v>
      </c>
      <c r="G23" s="29" t="s">
        <v>1027</v>
      </c>
      <c r="H23" s="29">
        <v>204.3</v>
      </c>
      <c r="I23" s="29" t="s">
        <v>276</v>
      </c>
      <c r="J23" s="29">
        <v>3</v>
      </c>
      <c r="K23" s="29">
        <v>3.1</v>
      </c>
      <c r="L23" s="29">
        <v>6.1</v>
      </c>
      <c r="M23" s="29"/>
      <c r="N23" s="29"/>
      <c r="Q23" s="29">
        <f t="shared" si="1"/>
        <v>8</v>
      </c>
      <c r="R23" s="29" t="s">
        <v>71</v>
      </c>
      <c r="S23" s="29">
        <v>63</v>
      </c>
      <c r="T23" s="29" t="s">
        <v>324</v>
      </c>
      <c r="U23" s="29" t="s">
        <v>326</v>
      </c>
      <c r="V23" s="29">
        <v>68.3</v>
      </c>
      <c r="W23" s="29" t="s">
        <v>276</v>
      </c>
      <c r="X23" s="29">
        <v>3</v>
      </c>
      <c r="Y23" s="29">
        <v>3.1</v>
      </c>
      <c r="Z23" s="29">
        <v>6.1</v>
      </c>
      <c r="AA23" s="29"/>
      <c r="AB23" s="29"/>
      <c r="AE23" s="29">
        <f t="shared" si="2"/>
        <v>8</v>
      </c>
      <c r="AF23" s="29" t="s">
        <v>71</v>
      </c>
      <c r="AG23" s="29">
        <v>63</v>
      </c>
      <c r="AH23" s="29" t="s">
        <v>993</v>
      </c>
      <c r="AI23" s="29" t="s">
        <v>483</v>
      </c>
      <c r="AJ23" s="29">
        <v>24</v>
      </c>
      <c r="AK23" s="29" t="s">
        <v>276</v>
      </c>
      <c r="AL23" s="29">
        <v>3</v>
      </c>
      <c r="AM23" s="29">
        <v>3.1</v>
      </c>
      <c r="AN23" s="29">
        <v>6.1</v>
      </c>
      <c r="AO23" s="29"/>
      <c r="AP23" s="29"/>
    </row>
    <row r="24" spans="3:42">
      <c r="C24" s="29">
        <f t="shared" si="0"/>
        <v>9</v>
      </c>
      <c r="D24" s="29" t="s">
        <v>71</v>
      </c>
      <c r="E24" s="29">
        <v>125</v>
      </c>
      <c r="F24" s="29" t="s">
        <v>1027</v>
      </c>
      <c r="G24" s="29" t="s">
        <v>461</v>
      </c>
      <c r="H24" s="29">
        <v>145.4</v>
      </c>
      <c r="I24" s="29" t="s">
        <v>276</v>
      </c>
      <c r="J24" s="29">
        <v>3</v>
      </c>
      <c r="K24" s="29">
        <v>3.1</v>
      </c>
      <c r="L24" s="29">
        <v>6.1</v>
      </c>
      <c r="M24" s="29"/>
      <c r="N24" s="29"/>
      <c r="Q24" s="29">
        <f t="shared" si="1"/>
        <v>9</v>
      </c>
      <c r="R24" s="29" t="s">
        <v>71</v>
      </c>
      <c r="S24" s="29">
        <v>63</v>
      </c>
      <c r="T24" s="29" t="s">
        <v>326</v>
      </c>
      <c r="U24" s="29" t="s">
        <v>514</v>
      </c>
      <c r="V24" s="29">
        <v>68.400000000000006</v>
      </c>
      <c r="W24" s="29" t="s">
        <v>276</v>
      </c>
      <c r="X24" s="29">
        <v>3</v>
      </c>
      <c r="Y24" s="29">
        <v>3.1</v>
      </c>
      <c r="Z24" s="29">
        <v>6.1</v>
      </c>
      <c r="AA24" s="29"/>
      <c r="AB24" s="29"/>
      <c r="AE24" s="29">
        <f t="shared" si="2"/>
        <v>9</v>
      </c>
      <c r="AF24" s="29" t="s">
        <v>71</v>
      </c>
      <c r="AG24" s="29">
        <v>63</v>
      </c>
      <c r="AH24" s="29" t="s">
        <v>347</v>
      </c>
      <c r="AI24" s="29" t="s">
        <v>928</v>
      </c>
      <c r="AJ24" s="29">
        <v>11.4</v>
      </c>
      <c r="AK24" s="29" t="s">
        <v>276</v>
      </c>
      <c r="AL24" s="29">
        <v>3</v>
      </c>
      <c r="AM24" s="29">
        <v>3.1</v>
      </c>
      <c r="AN24" s="29">
        <v>6.1</v>
      </c>
      <c r="AO24" s="29"/>
      <c r="AP24" s="29"/>
    </row>
    <row r="25" spans="3:42">
      <c r="C25" s="29">
        <f t="shared" si="0"/>
        <v>10</v>
      </c>
      <c r="D25" s="29" t="s">
        <v>71</v>
      </c>
      <c r="E25" s="29">
        <v>110</v>
      </c>
      <c r="F25" s="29" t="s">
        <v>461</v>
      </c>
      <c r="G25" s="29" t="s">
        <v>372</v>
      </c>
      <c r="H25" s="29">
        <v>102.3</v>
      </c>
      <c r="I25" s="29" t="s">
        <v>276</v>
      </c>
      <c r="J25" s="29">
        <v>3</v>
      </c>
      <c r="K25" s="29">
        <v>3.1</v>
      </c>
      <c r="L25" s="29">
        <v>6.1</v>
      </c>
      <c r="M25" s="29"/>
      <c r="N25" s="29"/>
      <c r="Q25" s="29">
        <f t="shared" si="1"/>
        <v>10</v>
      </c>
      <c r="R25" s="29" t="s">
        <v>71</v>
      </c>
      <c r="S25" s="29">
        <v>63</v>
      </c>
      <c r="T25" s="29" t="s">
        <v>283</v>
      </c>
      <c r="U25" s="29" t="s">
        <v>380</v>
      </c>
      <c r="V25" s="29">
        <v>317.8</v>
      </c>
      <c r="W25" s="29" t="s">
        <v>276</v>
      </c>
      <c r="X25" s="29">
        <v>3</v>
      </c>
      <c r="Y25" s="29">
        <v>3.1</v>
      </c>
      <c r="Z25" s="29">
        <v>6.1</v>
      </c>
      <c r="AA25" s="29"/>
      <c r="AB25" s="29"/>
      <c r="AE25" s="29">
        <f t="shared" si="2"/>
        <v>10</v>
      </c>
      <c r="AF25" s="29" t="s">
        <v>71</v>
      </c>
      <c r="AG25" s="29">
        <v>63</v>
      </c>
      <c r="AH25" s="29" t="s">
        <v>928</v>
      </c>
      <c r="AI25" s="29" t="s">
        <v>457</v>
      </c>
      <c r="AJ25" s="29">
        <v>53.2</v>
      </c>
      <c r="AK25" s="29" t="s">
        <v>276</v>
      </c>
      <c r="AL25" s="29">
        <v>3</v>
      </c>
      <c r="AM25" s="29">
        <v>3.1</v>
      </c>
      <c r="AN25" s="29">
        <v>6.1</v>
      </c>
      <c r="AO25" s="29"/>
      <c r="AP25" s="29"/>
    </row>
    <row r="26" spans="3:42">
      <c r="C26" s="29">
        <f t="shared" si="0"/>
        <v>11</v>
      </c>
      <c r="D26" s="29" t="s">
        <v>71</v>
      </c>
      <c r="E26" s="29">
        <v>110</v>
      </c>
      <c r="F26" s="29" t="s">
        <v>372</v>
      </c>
      <c r="G26" s="29" t="s">
        <v>459</v>
      </c>
      <c r="H26" s="29">
        <v>3</v>
      </c>
      <c r="I26" s="29" t="s">
        <v>276</v>
      </c>
      <c r="J26" s="29">
        <v>3</v>
      </c>
      <c r="K26" s="29">
        <v>3.1</v>
      </c>
      <c r="L26" s="29">
        <v>6.1</v>
      </c>
      <c r="M26" s="29"/>
      <c r="N26" s="29"/>
      <c r="Q26" s="29">
        <f t="shared" si="1"/>
        <v>11</v>
      </c>
      <c r="R26" s="29" t="s">
        <v>71</v>
      </c>
      <c r="S26" s="29">
        <v>63</v>
      </c>
      <c r="T26" s="29" t="s">
        <v>380</v>
      </c>
      <c r="U26" s="29" t="s">
        <v>376</v>
      </c>
      <c r="V26" s="29">
        <v>3</v>
      </c>
      <c r="W26" s="29" t="s">
        <v>276</v>
      </c>
      <c r="X26" s="29">
        <v>3</v>
      </c>
      <c r="Y26" s="29">
        <v>3.1</v>
      </c>
      <c r="Z26" s="29">
        <v>6.1</v>
      </c>
      <c r="AA26" s="29"/>
      <c r="AB26" s="29"/>
      <c r="AE26" s="29">
        <f t="shared" si="2"/>
        <v>11</v>
      </c>
      <c r="AF26" s="29" t="s">
        <v>71</v>
      </c>
      <c r="AG26" s="29">
        <v>63</v>
      </c>
      <c r="AH26" s="29" t="s">
        <v>457</v>
      </c>
      <c r="AI26" s="29" t="s">
        <v>434</v>
      </c>
      <c r="AJ26" s="29">
        <v>56.3</v>
      </c>
      <c r="AK26" s="29" t="s">
        <v>276</v>
      </c>
      <c r="AL26" s="29">
        <v>3</v>
      </c>
      <c r="AM26" s="29">
        <v>3.1</v>
      </c>
      <c r="AN26" s="29">
        <v>6.1</v>
      </c>
      <c r="AO26" s="29"/>
      <c r="AP26" s="29"/>
    </row>
    <row r="27" spans="3:42">
      <c r="C27" s="29">
        <f t="shared" si="0"/>
        <v>12</v>
      </c>
      <c r="D27" s="29" t="s">
        <v>71</v>
      </c>
      <c r="E27" s="29">
        <v>110</v>
      </c>
      <c r="F27" s="29" t="s">
        <v>372</v>
      </c>
      <c r="G27" s="29" t="s">
        <v>459</v>
      </c>
      <c r="H27" s="29">
        <f>286.3-3</f>
        <v>283.3</v>
      </c>
      <c r="I27" s="29" t="s">
        <v>276</v>
      </c>
      <c r="J27" s="29">
        <v>3</v>
      </c>
      <c r="K27" s="29">
        <v>3.1</v>
      </c>
      <c r="L27" s="29">
        <v>6.1</v>
      </c>
      <c r="M27" s="29"/>
      <c r="N27" s="29"/>
      <c r="Q27" s="29">
        <f t="shared" si="1"/>
        <v>12</v>
      </c>
      <c r="R27" s="29" t="s">
        <v>71</v>
      </c>
      <c r="S27" s="29">
        <v>63</v>
      </c>
      <c r="T27" s="29" t="s">
        <v>380</v>
      </c>
      <c r="U27" s="29" t="s">
        <v>376</v>
      </c>
      <c r="V27" s="29">
        <f>112.2-3</f>
        <v>109.2</v>
      </c>
      <c r="W27" s="29" t="s">
        <v>276</v>
      </c>
      <c r="X27" s="29">
        <v>3</v>
      </c>
      <c r="Y27" s="29">
        <v>3.1</v>
      </c>
      <c r="Z27" s="29">
        <v>6.1</v>
      </c>
      <c r="AA27" s="29"/>
      <c r="AB27" s="29"/>
      <c r="AE27" s="29">
        <f t="shared" si="2"/>
        <v>12</v>
      </c>
      <c r="AF27" s="29" t="s">
        <v>71</v>
      </c>
      <c r="AG27" s="29">
        <v>63</v>
      </c>
      <c r="AH27" s="29" t="s">
        <v>457</v>
      </c>
      <c r="AI27" s="29" t="s">
        <v>289</v>
      </c>
      <c r="AJ27" s="29">
        <v>84.3</v>
      </c>
      <c r="AK27" s="29" t="s">
        <v>276</v>
      </c>
      <c r="AL27" s="29">
        <v>3</v>
      </c>
      <c r="AM27" s="29">
        <v>3.1</v>
      </c>
      <c r="AN27" s="29">
        <v>6.1</v>
      </c>
      <c r="AO27" s="29"/>
      <c r="AP27" s="29"/>
    </row>
    <row r="28" spans="3:42">
      <c r="C28" s="29">
        <f t="shared" si="0"/>
        <v>13</v>
      </c>
      <c r="D28" s="29" t="s">
        <v>71</v>
      </c>
      <c r="E28" s="29">
        <v>110</v>
      </c>
      <c r="F28" s="29" t="s">
        <v>497</v>
      </c>
      <c r="G28" s="29" t="s">
        <v>459</v>
      </c>
      <c r="H28" s="29">
        <v>3</v>
      </c>
      <c r="I28" s="29" t="s">
        <v>276</v>
      </c>
      <c r="J28" s="29">
        <v>3</v>
      </c>
      <c r="K28" s="29">
        <v>3.1</v>
      </c>
      <c r="L28" s="29">
        <v>6.1</v>
      </c>
      <c r="M28" s="29"/>
      <c r="N28" s="29"/>
      <c r="Q28" s="29">
        <f t="shared" si="1"/>
        <v>13</v>
      </c>
      <c r="R28" s="29" t="s">
        <v>71</v>
      </c>
      <c r="S28" s="29">
        <v>63</v>
      </c>
      <c r="T28" s="29" t="s">
        <v>376</v>
      </c>
      <c r="U28" s="29" t="s">
        <v>374</v>
      </c>
      <c r="V28" s="29">
        <v>3</v>
      </c>
      <c r="W28" s="29" t="s">
        <v>276</v>
      </c>
      <c r="X28" s="29">
        <v>3</v>
      </c>
      <c r="Y28" s="29">
        <v>3.1</v>
      </c>
      <c r="Z28" s="29">
        <v>6.1</v>
      </c>
      <c r="AA28" s="29"/>
      <c r="AB28" s="29"/>
      <c r="AE28" s="29">
        <f t="shared" si="2"/>
        <v>13</v>
      </c>
      <c r="AF28" s="29" t="s">
        <v>71</v>
      </c>
      <c r="AG28" s="29">
        <v>63</v>
      </c>
      <c r="AH28" s="29" t="s">
        <v>434</v>
      </c>
      <c r="AI28" s="29" t="s">
        <v>905</v>
      </c>
      <c r="AJ28" s="29">
        <v>18.100000000000001</v>
      </c>
      <c r="AK28" s="29" t="s">
        <v>276</v>
      </c>
      <c r="AL28" s="29">
        <v>3</v>
      </c>
      <c r="AM28" s="29">
        <v>3.1</v>
      </c>
      <c r="AN28" s="29">
        <v>6.1</v>
      </c>
      <c r="AO28" s="29"/>
      <c r="AP28" s="29"/>
    </row>
    <row r="29" spans="3:42">
      <c r="C29" s="29">
        <f t="shared" si="0"/>
        <v>14</v>
      </c>
      <c r="D29" s="29" t="s">
        <v>71</v>
      </c>
      <c r="E29" s="29">
        <v>110</v>
      </c>
      <c r="F29" s="29" t="s">
        <v>497</v>
      </c>
      <c r="G29" s="29" t="s">
        <v>459</v>
      </c>
      <c r="H29" s="29">
        <f>163.2-3</f>
        <v>160.19999999999999</v>
      </c>
      <c r="I29" s="29" t="s">
        <v>276</v>
      </c>
      <c r="J29" s="29">
        <v>3</v>
      </c>
      <c r="K29" s="29">
        <v>3.1</v>
      </c>
      <c r="L29" s="29">
        <v>6.1</v>
      </c>
      <c r="M29" s="29"/>
      <c r="N29" s="29"/>
      <c r="Q29" s="29">
        <f t="shared" si="1"/>
        <v>14</v>
      </c>
      <c r="R29" s="29" t="s">
        <v>71</v>
      </c>
      <c r="S29" s="29">
        <v>63</v>
      </c>
      <c r="T29" s="29" t="s">
        <v>376</v>
      </c>
      <c r="U29" s="29" t="s">
        <v>374</v>
      </c>
      <c r="V29" s="29">
        <f>114.6-3</f>
        <v>111.6</v>
      </c>
      <c r="W29" s="29" t="s">
        <v>276</v>
      </c>
      <c r="X29" s="29">
        <v>3</v>
      </c>
      <c r="Y29" s="29">
        <v>3.1</v>
      </c>
      <c r="Z29" s="29">
        <v>6.1</v>
      </c>
      <c r="AA29" s="29"/>
      <c r="AB29" s="29"/>
      <c r="AE29" s="29">
        <f t="shared" si="2"/>
        <v>14</v>
      </c>
      <c r="AF29" s="29" t="s">
        <v>71</v>
      </c>
      <c r="AG29" s="29">
        <v>63</v>
      </c>
      <c r="AH29" s="29" t="s">
        <v>905</v>
      </c>
      <c r="AI29" s="29" t="s">
        <v>453</v>
      </c>
      <c r="AJ29" s="29">
        <v>70.3</v>
      </c>
      <c r="AK29" s="29" t="s">
        <v>276</v>
      </c>
      <c r="AL29" s="29">
        <v>3</v>
      </c>
      <c r="AM29" s="29">
        <v>3.1</v>
      </c>
      <c r="AN29" s="29">
        <v>6.1</v>
      </c>
      <c r="AO29" s="29"/>
      <c r="AP29" s="29"/>
    </row>
    <row r="30" spans="3:42">
      <c r="C30" s="29">
        <f t="shared" si="0"/>
        <v>15</v>
      </c>
      <c r="D30" s="29" t="s">
        <v>71</v>
      </c>
      <c r="E30" s="29">
        <v>110</v>
      </c>
      <c r="F30" s="29" t="s">
        <v>497</v>
      </c>
      <c r="G30" s="29" t="s">
        <v>530</v>
      </c>
      <c r="H30" s="29">
        <v>630.20000000000005</v>
      </c>
      <c r="I30" s="29" t="s">
        <v>276</v>
      </c>
      <c r="J30" s="29">
        <v>3</v>
      </c>
      <c r="K30" s="29">
        <v>3.1</v>
      </c>
      <c r="L30" s="29">
        <v>6.1</v>
      </c>
      <c r="M30" s="29"/>
      <c r="N30" s="29"/>
      <c r="Q30" s="29">
        <f t="shared" si="1"/>
        <v>15</v>
      </c>
      <c r="R30" s="29" t="s">
        <v>71</v>
      </c>
      <c r="S30" s="29">
        <v>63</v>
      </c>
      <c r="T30" s="29" t="s">
        <v>376</v>
      </c>
      <c r="U30" s="29" t="s">
        <v>455</v>
      </c>
      <c r="V30" s="29">
        <v>184.8</v>
      </c>
      <c r="W30" s="29" t="s">
        <v>276</v>
      </c>
      <c r="X30" s="29">
        <v>3</v>
      </c>
      <c r="Y30" s="29">
        <v>3.1</v>
      </c>
      <c r="Z30" s="29">
        <v>6.1</v>
      </c>
      <c r="AA30" s="29"/>
      <c r="AB30" s="29"/>
      <c r="AE30" s="29">
        <f t="shared" si="2"/>
        <v>15</v>
      </c>
      <c r="AF30" s="29" t="s">
        <v>71</v>
      </c>
      <c r="AG30" s="29">
        <v>63</v>
      </c>
      <c r="AH30" s="29" t="s">
        <v>905</v>
      </c>
      <c r="AI30" s="29" t="s">
        <v>271</v>
      </c>
      <c r="AJ30" s="29">
        <v>19.100000000000001</v>
      </c>
      <c r="AK30" s="29" t="s">
        <v>276</v>
      </c>
      <c r="AL30" s="29">
        <v>3</v>
      </c>
      <c r="AM30" s="29">
        <v>3.1</v>
      </c>
      <c r="AN30" s="29">
        <v>6.1</v>
      </c>
      <c r="AO30" s="29"/>
      <c r="AP30" s="29"/>
    </row>
    <row r="31" spans="3:42">
      <c r="C31" s="29">
        <f t="shared" si="0"/>
        <v>16</v>
      </c>
      <c r="D31" s="29" t="s">
        <v>71</v>
      </c>
      <c r="E31" s="29">
        <v>90</v>
      </c>
      <c r="F31" s="29" t="s">
        <v>462</v>
      </c>
      <c r="G31" s="29" t="s">
        <v>1028</v>
      </c>
      <c r="H31" s="29">
        <v>105.3</v>
      </c>
      <c r="I31" s="29" t="s">
        <v>276</v>
      </c>
      <c r="J31" s="29">
        <v>3</v>
      </c>
      <c r="K31" s="29">
        <v>3.1</v>
      </c>
      <c r="L31" s="29">
        <v>6.1</v>
      </c>
      <c r="M31" s="29"/>
      <c r="N31" s="29"/>
      <c r="Q31" s="29">
        <f t="shared" si="1"/>
        <v>16</v>
      </c>
      <c r="R31" s="29" t="s">
        <v>71</v>
      </c>
      <c r="S31" s="29">
        <v>63</v>
      </c>
      <c r="T31" s="29" t="s">
        <v>380</v>
      </c>
      <c r="U31" s="29" t="s">
        <v>330</v>
      </c>
      <c r="V31" s="29">
        <v>40.299999999999997</v>
      </c>
      <c r="W31" s="29" t="s">
        <v>276</v>
      </c>
      <c r="X31" s="29">
        <v>3</v>
      </c>
      <c r="Y31" s="29">
        <v>3.1</v>
      </c>
      <c r="Z31" s="29">
        <v>6.1</v>
      </c>
      <c r="AA31" s="29"/>
      <c r="AB31" s="29"/>
      <c r="AE31" s="29">
        <f t="shared" si="2"/>
        <v>16</v>
      </c>
      <c r="AF31" s="29" t="s">
        <v>71</v>
      </c>
      <c r="AG31" s="29">
        <v>63</v>
      </c>
      <c r="AH31" s="29" t="s">
        <v>271</v>
      </c>
      <c r="AI31" s="29" t="s">
        <v>973</v>
      </c>
      <c r="AJ31" s="33">
        <v>89.4</v>
      </c>
      <c r="AK31" s="29" t="s">
        <v>276</v>
      </c>
      <c r="AL31" s="29">
        <v>3</v>
      </c>
      <c r="AM31" s="29">
        <v>3.1</v>
      </c>
      <c r="AN31" s="29">
        <v>6.1</v>
      </c>
      <c r="AO31" s="29"/>
      <c r="AP31" s="29"/>
    </row>
    <row r="32" spans="3:42">
      <c r="C32" s="29">
        <f t="shared" si="0"/>
        <v>17</v>
      </c>
      <c r="D32" s="29" t="s">
        <v>71</v>
      </c>
      <c r="E32" s="29">
        <v>90</v>
      </c>
      <c r="F32" s="29" t="s">
        <v>1028</v>
      </c>
      <c r="G32" s="29" t="s">
        <v>392</v>
      </c>
      <c r="H32" s="29">
        <v>79.2</v>
      </c>
      <c r="I32" s="29" t="s">
        <v>276</v>
      </c>
      <c r="J32" s="29">
        <v>3</v>
      </c>
      <c r="K32" s="29">
        <v>3.1</v>
      </c>
      <c r="L32" s="29">
        <v>6.1</v>
      </c>
      <c r="M32" s="29"/>
      <c r="N32" s="29"/>
      <c r="Q32" s="29">
        <f t="shared" si="1"/>
        <v>17</v>
      </c>
      <c r="R32" s="29" t="s">
        <v>71</v>
      </c>
      <c r="S32" s="29">
        <v>63</v>
      </c>
      <c r="T32" s="29" t="s">
        <v>460</v>
      </c>
      <c r="U32" s="29" t="s">
        <v>328</v>
      </c>
      <c r="V32" s="29">
        <v>165.2</v>
      </c>
      <c r="W32" s="29" t="s">
        <v>276</v>
      </c>
      <c r="X32" s="29">
        <v>3</v>
      </c>
      <c r="Y32" s="29">
        <v>3.1</v>
      </c>
      <c r="Z32" s="29">
        <v>6.1</v>
      </c>
      <c r="AA32" s="29"/>
      <c r="AB32" s="29"/>
      <c r="AE32" s="29">
        <f t="shared" si="2"/>
        <v>17</v>
      </c>
      <c r="AF32" s="29" t="s">
        <v>71</v>
      </c>
      <c r="AG32" s="29">
        <v>63</v>
      </c>
      <c r="AH32" s="29" t="s">
        <v>271</v>
      </c>
      <c r="AI32" s="29" t="s">
        <v>973</v>
      </c>
      <c r="AJ32" s="29">
        <v>52.6</v>
      </c>
      <c r="AK32" s="29" t="s">
        <v>276</v>
      </c>
      <c r="AL32" s="29">
        <v>3</v>
      </c>
      <c r="AM32" s="29">
        <v>3.1</v>
      </c>
      <c r="AN32" s="29">
        <v>6.1</v>
      </c>
      <c r="AO32" s="29"/>
      <c r="AP32" s="29"/>
    </row>
    <row r="33" spans="3:42">
      <c r="C33" s="29">
        <f t="shared" si="0"/>
        <v>18</v>
      </c>
      <c r="D33" s="29" t="s">
        <v>71</v>
      </c>
      <c r="E33" s="29">
        <v>90</v>
      </c>
      <c r="F33" s="29" t="s">
        <v>392</v>
      </c>
      <c r="G33" s="29" t="s">
        <v>304</v>
      </c>
      <c r="H33" s="29">
        <v>396.8</v>
      </c>
      <c r="I33" s="29" t="s">
        <v>276</v>
      </c>
      <c r="J33" s="29">
        <v>3</v>
      </c>
      <c r="K33" s="29">
        <v>3.1</v>
      </c>
      <c r="L33" s="29">
        <v>6.1</v>
      </c>
      <c r="M33" s="29"/>
      <c r="N33" s="29"/>
      <c r="Q33" s="29">
        <f t="shared" si="1"/>
        <v>18</v>
      </c>
      <c r="R33" s="29" t="s">
        <v>71</v>
      </c>
      <c r="S33" s="29">
        <v>63</v>
      </c>
      <c r="T33" s="29" t="s">
        <v>1029</v>
      </c>
      <c r="U33" s="29" t="s">
        <v>378</v>
      </c>
      <c r="V33" s="29">
        <v>222.5</v>
      </c>
      <c r="W33" s="29" t="s">
        <v>276</v>
      </c>
      <c r="X33" s="29">
        <v>3</v>
      </c>
      <c r="Y33" s="29">
        <v>3.1</v>
      </c>
      <c r="Z33" s="29">
        <v>6.1</v>
      </c>
      <c r="AA33" s="29"/>
      <c r="AB33" s="29"/>
      <c r="AE33" s="29">
        <f t="shared" si="2"/>
        <v>18</v>
      </c>
      <c r="AF33" s="29" t="s">
        <v>71</v>
      </c>
      <c r="AG33" s="29">
        <v>63</v>
      </c>
      <c r="AH33" s="29" t="s">
        <v>973</v>
      </c>
      <c r="AI33" s="29" t="s">
        <v>931</v>
      </c>
      <c r="AJ33" s="29">
        <v>77.900000000000006</v>
      </c>
      <c r="AK33" s="29" t="s">
        <v>276</v>
      </c>
      <c r="AL33" s="29">
        <v>3</v>
      </c>
      <c r="AM33" s="29">
        <v>3.1</v>
      </c>
      <c r="AN33" s="29">
        <v>6.1</v>
      </c>
      <c r="AO33" s="29"/>
      <c r="AP33" s="29"/>
    </row>
    <row r="34" spans="3:42">
      <c r="C34" s="29">
        <f t="shared" si="0"/>
        <v>19</v>
      </c>
      <c r="D34" s="29" t="s">
        <v>71</v>
      </c>
      <c r="E34" s="29">
        <v>90</v>
      </c>
      <c r="F34" s="29" t="s">
        <v>304</v>
      </c>
      <c r="G34" s="29" t="s">
        <v>322</v>
      </c>
      <c r="H34" s="29">
        <v>340.5</v>
      </c>
      <c r="I34" s="29" t="s">
        <v>276</v>
      </c>
      <c r="J34" s="29">
        <v>3</v>
      </c>
      <c r="K34" s="29">
        <v>3.1</v>
      </c>
      <c r="L34" s="29">
        <v>6.1</v>
      </c>
      <c r="M34" s="29"/>
      <c r="N34" s="29"/>
      <c r="Q34" s="29">
        <f t="shared" si="1"/>
        <v>19</v>
      </c>
      <c r="R34" s="29" t="s">
        <v>71</v>
      </c>
      <c r="S34" s="29">
        <v>63</v>
      </c>
      <c r="T34" s="29" t="s">
        <v>378</v>
      </c>
      <c r="U34" s="29" t="s">
        <v>538</v>
      </c>
      <c r="V34" s="29">
        <v>115.5</v>
      </c>
      <c r="W34" s="29" t="s">
        <v>276</v>
      </c>
      <c r="X34" s="29">
        <v>3</v>
      </c>
      <c r="Y34" s="29">
        <v>3.1</v>
      </c>
      <c r="Z34" s="29">
        <v>6.1</v>
      </c>
      <c r="AA34" s="29"/>
      <c r="AB34" s="29"/>
      <c r="AE34" s="29">
        <f t="shared" si="2"/>
        <v>19</v>
      </c>
      <c r="AF34" s="29" t="s">
        <v>71</v>
      </c>
      <c r="AG34" s="29">
        <v>63</v>
      </c>
      <c r="AH34" s="29" t="s">
        <v>931</v>
      </c>
      <c r="AI34" s="29" t="s">
        <v>1030</v>
      </c>
      <c r="AJ34" s="29">
        <v>70.2</v>
      </c>
      <c r="AK34" s="29" t="s">
        <v>276</v>
      </c>
      <c r="AL34" s="29">
        <v>3</v>
      </c>
      <c r="AM34" s="29">
        <v>3.1</v>
      </c>
      <c r="AN34" s="29">
        <v>6.1</v>
      </c>
      <c r="AO34" s="29"/>
      <c r="AP34" s="29"/>
    </row>
    <row r="35" spans="3:42">
      <c r="C35" s="29">
        <f t="shared" si="0"/>
        <v>20</v>
      </c>
      <c r="D35" s="29" t="s">
        <v>71</v>
      </c>
      <c r="E35" s="29">
        <v>90</v>
      </c>
      <c r="F35" s="29" t="s">
        <v>462</v>
      </c>
      <c r="G35" s="29" t="s">
        <v>387</v>
      </c>
      <c r="H35" s="29">
        <v>85.6</v>
      </c>
      <c r="I35" s="29" t="s">
        <v>276</v>
      </c>
      <c r="J35" s="29">
        <v>3</v>
      </c>
      <c r="K35" s="29">
        <v>3.1</v>
      </c>
      <c r="L35" s="29">
        <v>6.1</v>
      </c>
      <c r="M35" s="29"/>
      <c r="N35" s="29"/>
      <c r="Q35" s="29">
        <f t="shared" si="1"/>
        <v>20</v>
      </c>
      <c r="R35" s="29" t="s">
        <v>71</v>
      </c>
      <c r="S35" s="29">
        <v>63</v>
      </c>
      <c r="T35" s="29" t="s">
        <v>538</v>
      </c>
      <c r="U35" s="29" t="s">
        <v>441</v>
      </c>
      <c r="V35" s="29">
        <v>20.5</v>
      </c>
      <c r="W35" s="29" t="s">
        <v>276</v>
      </c>
      <c r="X35" s="29">
        <v>3</v>
      </c>
      <c r="Y35" s="29">
        <v>3.1</v>
      </c>
      <c r="Z35" s="29">
        <v>6.1</v>
      </c>
      <c r="AA35" s="29"/>
      <c r="AB35" s="29"/>
      <c r="AE35" s="29">
        <f t="shared" si="2"/>
        <v>20</v>
      </c>
      <c r="AF35" s="29" t="s">
        <v>71</v>
      </c>
      <c r="AG35" s="29">
        <v>63</v>
      </c>
      <c r="AH35" s="29" t="s">
        <v>1030</v>
      </c>
      <c r="AI35" s="29" t="s">
        <v>963</v>
      </c>
      <c r="AJ35" s="29">
        <v>28.2</v>
      </c>
      <c r="AK35" s="29" t="s">
        <v>276</v>
      </c>
      <c r="AL35" s="29">
        <v>3</v>
      </c>
      <c r="AM35" s="29">
        <v>3.1</v>
      </c>
      <c r="AN35" s="29">
        <v>6.1</v>
      </c>
      <c r="AO35" s="29"/>
      <c r="AP35" s="29"/>
    </row>
    <row r="36" spans="3:42">
      <c r="C36" s="29">
        <f t="shared" si="0"/>
        <v>21</v>
      </c>
      <c r="D36" s="29" t="s">
        <v>71</v>
      </c>
      <c r="E36" s="29">
        <v>90</v>
      </c>
      <c r="F36" s="29" t="s">
        <v>301</v>
      </c>
      <c r="G36" s="29" t="s">
        <v>895</v>
      </c>
      <c r="H36" s="29">
        <v>38.200000000000003</v>
      </c>
      <c r="I36" s="29" t="s">
        <v>276</v>
      </c>
      <c r="J36" s="29">
        <v>3</v>
      </c>
      <c r="K36" s="29">
        <v>3.1</v>
      </c>
      <c r="L36" s="29">
        <v>6.1</v>
      </c>
      <c r="M36" s="29"/>
      <c r="N36" s="29"/>
      <c r="Q36" s="29">
        <f t="shared" si="1"/>
        <v>21</v>
      </c>
      <c r="R36" s="29" t="s">
        <v>71</v>
      </c>
      <c r="S36" s="29">
        <v>63</v>
      </c>
      <c r="T36" s="29" t="s">
        <v>441</v>
      </c>
      <c r="U36" s="29" t="s">
        <v>915</v>
      </c>
      <c r="V36" s="29">
        <v>36.299999999999997</v>
      </c>
      <c r="W36" s="29" t="s">
        <v>276</v>
      </c>
      <c r="X36" s="29">
        <v>3</v>
      </c>
      <c r="Y36" s="29">
        <v>3.1</v>
      </c>
      <c r="Z36" s="29">
        <v>6.1</v>
      </c>
      <c r="AA36" s="29"/>
      <c r="AB36" s="29"/>
      <c r="AE36" s="29">
        <f t="shared" si="2"/>
        <v>21</v>
      </c>
      <c r="AF36" s="29" t="s">
        <v>71</v>
      </c>
      <c r="AG36" s="29">
        <v>63</v>
      </c>
      <c r="AH36" s="29" t="s">
        <v>322</v>
      </c>
      <c r="AI36" s="29" t="s">
        <v>427</v>
      </c>
      <c r="AJ36" s="29">
        <v>68.7</v>
      </c>
      <c r="AK36" s="29" t="s">
        <v>276</v>
      </c>
      <c r="AL36" s="29">
        <v>3</v>
      </c>
      <c r="AM36" s="29">
        <v>3.1</v>
      </c>
      <c r="AN36" s="29">
        <v>6.1</v>
      </c>
      <c r="AO36" s="29"/>
      <c r="AP36" s="29"/>
    </row>
    <row r="37" spans="3:42">
      <c r="C37" s="29">
        <f t="shared" si="0"/>
        <v>22</v>
      </c>
      <c r="D37" s="29" t="s">
        <v>71</v>
      </c>
      <c r="E37" s="29">
        <v>90</v>
      </c>
      <c r="F37" s="29" t="s">
        <v>895</v>
      </c>
      <c r="G37" s="29" t="s">
        <v>353</v>
      </c>
      <c r="H37" s="29">
        <v>36.1</v>
      </c>
      <c r="I37" s="29" t="s">
        <v>276</v>
      </c>
      <c r="J37" s="29">
        <v>3</v>
      </c>
      <c r="K37" s="29">
        <v>3.1</v>
      </c>
      <c r="L37" s="29">
        <v>6.1</v>
      </c>
      <c r="M37" s="29"/>
      <c r="N37" s="29"/>
      <c r="Q37" s="29">
        <f t="shared" si="1"/>
        <v>22</v>
      </c>
      <c r="R37" s="29" t="s">
        <v>71</v>
      </c>
      <c r="S37" s="29">
        <v>63</v>
      </c>
      <c r="T37" s="29" t="s">
        <v>915</v>
      </c>
      <c r="U37" s="29" t="s">
        <v>468</v>
      </c>
      <c r="V37" s="29">
        <v>24.5</v>
      </c>
      <c r="W37" s="29" t="s">
        <v>276</v>
      </c>
      <c r="X37" s="29">
        <v>3</v>
      </c>
      <c r="Y37" s="29">
        <v>3.1</v>
      </c>
      <c r="Z37" s="29">
        <v>6.1</v>
      </c>
      <c r="AA37" s="29"/>
      <c r="AB37" s="29"/>
      <c r="AE37" s="29">
        <f t="shared" si="2"/>
        <v>22</v>
      </c>
      <c r="AF37" s="29" t="s">
        <v>71</v>
      </c>
      <c r="AG37" s="29">
        <v>63</v>
      </c>
      <c r="AH37" s="29" t="s">
        <v>392</v>
      </c>
      <c r="AI37" s="29" t="s">
        <v>534</v>
      </c>
      <c r="AJ37" s="29">
        <v>46.2</v>
      </c>
      <c r="AK37" s="29" t="s">
        <v>276</v>
      </c>
      <c r="AL37" s="29">
        <v>3</v>
      </c>
      <c r="AM37" s="29">
        <v>3.1</v>
      </c>
      <c r="AN37" s="29">
        <v>6.1</v>
      </c>
      <c r="AO37" s="29"/>
      <c r="AP37" s="29"/>
    </row>
    <row r="38" spans="3:42">
      <c r="C38" s="29">
        <f t="shared" si="0"/>
        <v>23</v>
      </c>
      <c r="D38" s="29" t="s">
        <v>71</v>
      </c>
      <c r="E38" s="29">
        <v>90</v>
      </c>
      <c r="F38" s="29" t="s">
        <v>353</v>
      </c>
      <c r="G38" s="29" t="s">
        <v>460</v>
      </c>
      <c r="H38" s="29">
        <v>16.899999999999999</v>
      </c>
      <c r="I38" s="29" t="s">
        <v>276</v>
      </c>
      <c r="J38" s="29">
        <v>3</v>
      </c>
      <c r="K38" s="29">
        <v>3.1</v>
      </c>
      <c r="L38" s="29">
        <v>6.1</v>
      </c>
      <c r="M38" s="29"/>
      <c r="N38" s="29"/>
      <c r="Q38" s="29">
        <f t="shared" si="1"/>
        <v>23</v>
      </c>
      <c r="R38" s="29" t="s">
        <v>71</v>
      </c>
      <c r="S38" s="29">
        <v>63</v>
      </c>
      <c r="T38" s="29" t="s">
        <v>306</v>
      </c>
      <c r="U38" s="29" t="s">
        <v>299</v>
      </c>
      <c r="V38" s="29">
        <v>70.099999999999994</v>
      </c>
      <c r="W38" s="29" t="s">
        <v>276</v>
      </c>
      <c r="X38" s="29">
        <v>3</v>
      </c>
      <c r="Y38" s="29">
        <v>3.1</v>
      </c>
      <c r="Z38" s="29">
        <v>6.1</v>
      </c>
      <c r="AA38" s="29"/>
      <c r="AB38" s="29"/>
      <c r="AE38" s="29">
        <f t="shared" si="2"/>
        <v>23</v>
      </c>
      <c r="AF38" s="29" t="s">
        <v>71</v>
      </c>
      <c r="AG38" s="29">
        <v>63</v>
      </c>
      <c r="AH38" s="29" t="s">
        <v>1028</v>
      </c>
      <c r="AI38" s="29" t="s">
        <v>413</v>
      </c>
      <c r="AJ38" s="29">
        <v>12.1</v>
      </c>
      <c r="AK38" s="29" t="s">
        <v>276</v>
      </c>
      <c r="AL38" s="29">
        <v>3</v>
      </c>
      <c r="AM38" s="29">
        <v>3.1</v>
      </c>
      <c r="AN38" s="29">
        <v>6.1</v>
      </c>
      <c r="AO38" s="29"/>
      <c r="AP38" s="29"/>
    </row>
    <row r="39" spans="3:42">
      <c r="C39" s="29">
        <f t="shared" si="0"/>
        <v>24</v>
      </c>
      <c r="D39" s="29" t="s">
        <v>71</v>
      </c>
      <c r="E39" s="29">
        <v>90</v>
      </c>
      <c r="F39" s="29" t="s">
        <v>395</v>
      </c>
      <c r="G39" s="29" t="s">
        <v>530</v>
      </c>
      <c r="H39" s="29">
        <v>98.3</v>
      </c>
      <c r="I39" s="29" t="s">
        <v>276</v>
      </c>
      <c r="J39" s="29">
        <v>3</v>
      </c>
      <c r="K39" s="29">
        <v>3.1</v>
      </c>
      <c r="L39" s="29">
        <v>6.1</v>
      </c>
      <c r="M39" s="29"/>
      <c r="N39" s="29"/>
      <c r="Q39" s="29">
        <f t="shared" si="1"/>
        <v>24</v>
      </c>
      <c r="R39" s="29" t="s">
        <v>71</v>
      </c>
      <c r="S39" s="29">
        <v>63</v>
      </c>
      <c r="T39" s="29" t="s">
        <v>299</v>
      </c>
      <c r="U39" s="29" t="s">
        <v>474</v>
      </c>
      <c r="V39" s="29">
        <v>62.3</v>
      </c>
      <c r="W39" s="29" t="s">
        <v>276</v>
      </c>
      <c r="X39" s="29">
        <v>3</v>
      </c>
      <c r="Y39" s="29">
        <v>3.1</v>
      </c>
      <c r="Z39" s="29">
        <v>6.1</v>
      </c>
      <c r="AA39" s="29"/>
      <c r="AB39" s="29"/>
      <c r="AE39" s="29">
        <f t="shared" si="2"/>
        <v>24</v>
      </c>
      <c r="AF39" s="29" t="s">
        <v>71</v>
      </c>
      <c r="AG39" s="29">
        <v>63</v>
      </c>
      <c r="AH39" s="29" t="s">
        <v>387</v>
      </c>
      <c r="AI39" s="29" t="s">
        <v>482</v>
      </c>
      <c r="AJ39" s="29">
        <v>85.6</v>
      </c>
      <c r="AK39" s="29" t="s">
        <v>276</v>
      </c>
      <c r="AL39" s="29">
        <v>3</v>
      </c>
      <c r="AM39" s="29">
        <v>3.1</v>
      </c>
      <c r="AN39" s="29">
        <v>6.1</v>
      </c>
      <c r="AO39" s="29"/>
      <c r="AP39" s="29"/>
    </row>
    <row r="40" spans="3:42">
      <c r="C40" s="29">
        <f t="shared" si="0"/>
        <v>25</v>
      </c>
      <c r="D40" s="29" t="s">
        <v>71</v>
      </c>
      <c r="E40" s="29">
        <v>90</v>
      </c>
      <c r="F40" s="29" t="s">
        <v>395</v>
      </c>
      <c r="G40" s="29" t="s">
        <v>444</v>
      </c>
      <c r="H40" s="29">
        <v>29.8</v>
      </c>
      <c r="I40" s="29" t="s">
        <v>276</v>
      </c>
      <c r="J40" s="29">
        <v>3</v>
      </c>
      <c r="K40" s="29">
        <v>3.1</v>
      </c>
      <c r="L40" s="29">
        <v>6.1</v>
      </c>
      <c r="M40" s="29"/>
      <c r="N40" s="29"/>
      <c r="Q40" s="29">
        <f t="shared" si="1"/>
        <v>25</v>
      </c>
      <c r="R40" s="29" t="s">
        <v>71</v>
      </c>
      <c r="S40" s="29">
        <v>63</v>
      </c>
      <c r="T40" s="29" t="s">
        <v>1027</v>
      </c>
      <c r="U40" s="29" t="s">
        <v>427</v>
      </c>
      <c r="V40" s="29">
        <v>122.5</v>
      </c>
      <c r="W40" s="29" t="s">
        <v>276</v>
      </c>
      <c r="X40" s="29">
        <v>3</v>
      </c>
      <c r="Y40" s="29">
        <v>3.1</v>
      </c>
      <c r="Z40" s="29">
        <v>6.1</v>
      </c>
      <c r="AA40" s="29"/>
      <c r="AB40" s="29"/>
      <c r="AE40" s="29">
        <f t="shared" si="2"/>
        <v>25</v>
      </c>
      <c r="AF40" s="29" t="s">
        <v>71</v>
      </c>
      <c r="AG40" s="29">
        <v>63</v>
      </c>
      <c r="AH40" s="29" t="s">
        <v>387</v>
      </c>
      <c r="AI40" s="29" t="s">
        <v>325</v>
      </c>
      <c r="AJ40" s="29">
        <v>63.7</v>
      </c>
      <c r="AK40" s="29" t="s">
        <v>276</v>
      </c>
      <c r="AL40" s="29">
        <v>3</v>
      </c>
      <c r="AM40" s="29">
        <v>3.1</v>
      </c>
      <c r="AN40" s="29">
        <v>6.1</v>
      </c>
      <c r="AO40" s="29"/>
      <c r="AP40" s="29"/>
    </row>
    <row r="41" spans="3:42">
      <c r="C41" s="29">
        <f t="shared" si="0"/>
        <v>26</v>
      </c>
      <c r="D41" s="29" t="s">
        <v>71</v>
      </c>
      <c r="E41" s="29">
        <v>90</v>
      </c>
      <c r="F41" s="29" t="s">
        <v>444</v>
      </c>
      <c r="G41" s="29" t="s">
        <v>316</v>
      </c>
      <c r="H41" s="29">
        <v>76.2</v>
      </c>
      <c r="I41" s="29" t="s">
        <v>276</v>
      </c>
      <c r="J41" s="29">
        <v>3</v>
      </c>
      <c r="K41" s="29">
        <v>3.1</v>
      </c>
      <c r="L41" s="29">
        <v>6.1</v>
      </c>
      <c r="M41" s="29"/>
      <c r="N41" s="29"/>
      <c r="Q41" s="29">
        <f t="shared" si="1"/>
        <v>26</v>
      </c>
      <c r="R41" s="29" t="s">
        <v>71</v>
      </c>
      <c r="S41" s="29">
        <v>63</v>
      </c>
      <c r="T41" s="29" t="s">
        <v>462</v>
      </c>
      <c r="U41" s="29" t="s">
        <v>390</v>
      </c>
      <c r="V41" s="29">
        <v>117.3</v>
      </c>
      <c r="W41" s="29" t="s">
        <v>276</v>
      </c>
      <c r="X41" s="29">
        <v>3</v>
      </c>
      <c r="Y41" s="29">
        <v>3.1</v>
      </c>
      <c r="Z41" s="29">
        <v>6.1</v>
      </c>
      <c r="AA41" s="29"/>
      <c r="AB41" s="29"/>
      <c r="AE41" s="29">
        <f t="shared" si="2"/>
        <v>26</v>
      </c>
      <c r="AF41" s="29" t="s">
        <v>71</v>
      </c>
      <c r="AG41" s="29">
        <v>63</v>
      </c>
      <c r="AH41" s="29" t="s">
        <v>325</v>
      </c>
      <c r="AI41" s="29" t="s">
        <v>323</v>
      </c>
      <c r="AJ41" s="29">
        <v>3</v>
      </c>
      <c r="AK41" s="29" t="s">
        <v>276</v>
      </c>
      <c r="AL41" s="29">
        <v>3</v>
      </c>
      <c r="AM41" s="29">
        <v>3.1</v>
      </c>
      <c r="AN41" s="29">
        <v>6.1</v>
      </c>
      <c r="AO41" s="29"/>
      <c r="AP41" s="29"/>
    </row>
    <row r="42" spans="3:42">
      <c r="C42" s="29">
        <f t="shared" si="0"/>
        <v>27</v>
      </c>
      <c r="D42" s="29" t="s">
        <v>71</v>
      </c>
      <c r="E42" s="29">
        <v>90</v>
      </c>
      <c r="F42" s="29" t="s">
        <v>316</v>
      </c>
      <c r="G42" s="29" t="s">
        <v>892</v>
      </c>
      <c r="H42" s="29">
        <v>10.3</v>
      </c>
      <c r="I42" s="29" t="s">
        <v>276</v>
      </c>
      <c r="J42" s="29">
        <v>3</v>
      </c>
      <c r="K42" s="29">
        <v>3.1</v>
      </c>
      <c r="L42" s="29">
        <v>6.1</v>
      </c>
      <c r="M42" s="29"/>
      <c r="N42" s="29"/>
      <c r="Q42" s="29">
        <f t="shared" si="1"/>
        <v>27</v>
      </c>
      <c r="R42" s="29" t="s">
        <v>71</v>
      </c>
      <c r="S42" s="29">
        <v>63</v>
      </c>
      <c r="T42" s="29" t="s">
        <v>390</v>
      </c>
      <c r="U42" s="29" t="s">
        <v>288</v>
      </c>
      <c r="V42" s="29">
        <v>128.1</v>
      </c>
      <c r="W42" s="29" t="s">
        <v>276</v>
      </c>
      <c r="X42" s="29">
        <v>3</v>
      </c>
      <c r="Y42" s="29">
        <v>3.1</v>
      </c>
      <c r="Z42" s="29">
        <v>6.1</v>
      </c>
      <c r="AA42" s="29"/>
      <c r="AB42" s="29"/>
      <c r="AE42" s="29">
        <f t="shared" si="2"/>
        <v>27</v>
      </c>
      <c r="AF42" s="29" t="s">
        <v>71</v>
      </c>
      <c r="AG42" s="29">
        <v>63</v>
      </c>
      <c r="AH42" s="29" t="s">
        <v>325</v>
      </c>
      <c r="AI42" s="29" t="s">
        <v>323</v>
      </c>
      <c r="AJ42" s="29">
        <f>118.1-3</f>
        <v>115.1</v>
      </c>
      <c r="AK42" s="29" t="s">
        <v>276</v>
      </c>
      <c r="AL42" s="29">
        <v>3</v>
      </c>
      <c r="AM42" s="29">
        <v>3.1</v>
      </c>
      <c r="AN42" s="29">
        <v>6.1</v>
      </c>
      <c r="AO42" s="29"/>
      <c r="AP42" s="29"/>
    </row>
    <row r="43" spans="3:42">
      <c r="C43" s="29">
        <f t="shared" si="0"/>
        <v>28</v>
      </c>
      <c r="D43" s="29" t="s">
        <v>71</v>
      </c>
      <c r="E43" s="29">
        <v>90</v>
      </c>
      <c r="F43" s="29" t="s">
        <v>892</v>
      </c>
      <c r="G43" s="29" t="s">
        <v>347</v>
      </c>
      <c r="H43" s="29">
        <v>59.3</v>
      </c>
      <c r="I43" s="29" t="s">
        <v>276</v>
      </c>
      <c r="J43" s="29">
        <v>3</v>
      </c>
      <c r="K43" s="29">
        <v>3.1</v>
      </c>
      <c r="L43" s="29">
        <v>6.1</v>
      </c>
      <c r="M43" s="29"/>
      <c r="N43" s="29"/>
      <c r="Q43" s="29">
        <f t="shared" si="1"/>
        <v>28</v>
      </c>
      <c r="R43" s="29" t="s">
        <v>71</v>
      </c>
      <c r="S43" s="29">
        <v>63</v>
      </c>
      <c r="T43" s="29" t="s">
        <v>963</v>
      </c>
      <c r="U43" s="29" t="s">
        <v>978</v>
      </c>
      <c r="V43" s="29">
        <v>70</v>
      </c>
      <c r="W43" s="29" t="s">
        <v>276</v>
      </c>
      <c r="X43" s="29">
        <v>3</v>
      </c>
      <c r="Y43" s="29">
        <v>3.1</v>
      </c>
      <c r="Z43" s="29">
        <v>6.1</v>
      </c>
      <c r="AA43" s="29"/>
      <c r="AB43" s="29"/>
      <c r="AE43" s="29">
        <f t="shared" si="2"/>
        <v>28</v>
      </c>
      <c r="AF43" s="29" t="s">
        <v>71</v>
      </c>
      <c r="AG43" s="29">
        <v>63</v>
      </c>
      <c r="AH43" s="29" t="s">
        <v>325</v>
      </c>
      <c r="AI43" s="29" t="s">
        <v>899</v>
      </c>
      <c r="AJ43" s="29">
        <v>40.1</v>
      </c>
      <c r="AK43" s="29" t="s">
        <v>276</v>
      </c>
      <c r="AL43" s="29">
        <v>3</v>
      </c>
      <c r="AM43" s="29">
        <v>3.1</v>
      </c>
      <c r="AN43" s="29">
        <v>6.1</v>
      </c>
      <c r="AO43" s="29"/>
      <c r="AP43" s="29"/>
    </row>
    <row r="44" spans="3:42">
      <c r="C44" s="29">
        <f t="shared" si="0"/>
        <v>29</v>
      </c>
      <c r="D44" s="29" t="s">
        <v>71</v>
      </c>
      <c r="E44" s="29">
        <v>90</v>
      </c>
      <c r="F44" s="29" t="s">
        <v>459</v>
      </c>
      <c r="G44" s="29" t="s">
        <v>462</v>
      </c>
      <c r="H44" s="29">
        <v>3</v>
      </c>
      <c r="I44" s="29" t="s">
        <v>276</v>
      </c>
      <c r="J44" s="29">
        <v>3</v>
      </c>
      <c r="K44" s="29">
        <v>3.1</v>
      </c>
      <c r="L44" s="29">
        <v>6.1</v>
      </c>
      <c r="M44" s="29"/>
      <c r="N44" s="29"/>
      <c r="Q44" s="29">
        <f t="shared" si="1"/>
        <v>29</v>
      </c>
      <c r="R44" s="29" t="s">
        <v>71</v>
      </c>
      <c r="S44" s="29">
        <v>63</v>
      </c>
      <c r="T44" s="29" t="s">
        <v>963</v>
      </c>
      <c r="U44" s="29" t="s">
        <v>1026</v>
      </c>
      <c r="V44" s="29">
        <v>70.3</v>
      </c>
      <c r="W44" s="29" t="s">
        <v>276</v>
      </c>
      <c r="X44" s="29">
        <v>3</v>
      </c>
      <c r="Y44" s="29">
        <v>3.1</v>
      </c>
      <c r="Z44" s="29">
        <v>6.1</v>
      </c>
      <c r="AA44" s="29"/>
      <c r="AB44" s="29"/>
      <c r="AE44" s="29">
        <f t="shared" si="2"/>
        <v>29</v>
      </c>
      <c r="AF44" s="29" t="s">
        <v>71</v>
      </c>
      <c r="AG44" s="29">
        <v>63</v>
      </c>
      <c r="AH44" s="29" t="s">
        <v>899</v>
      </c>
      <c r="AI44" s="29" t="s">
        <v>361</v>
      </c>
      <c r="AJ44" s="29">
        <v>57.2</v>
      </c>
      <c r="AK44" s="29" t="s">
        <v>276</v>
      </c>
      <c r="AL44" s="29">
        <v>3</v>
      </c>
      <c r="AM44" s="29">
        <v>3.1</v>
      </c>
      <c r="AN44" s="29">
        <v>6.1</v>
      </c>
      <c r="AO44" s="29"/>
      <c r="AP44" s="29"/>
    </row>
    <row r="45" spans="3:42">
      <c r="C45" s="29">
        <f t="shared" si="0"/>
        <v>30</v>
      </c>
      <c r="D45" s="29" t="s">
        <v>71</v>
      </c>
      <c r="E45" s="29">
        <v>90</v>
      </c>
      <c r="F45" s="29" t="s">
        <v>459</v>
      </c>
      <c r="G45" s="29" t="s">
        <v>462</v>
      </c>
      <c r="H45" s="29">
        <f>234.1-3</f>
        <v>231.1</v>
      </c>
      <c r="I45" s="29" t="s">
        <v>276</v>
      </c>
      <c r="J45" s="29">
        <v>3</v>
      </c>
      <c r="K45" s="29">
        <v>3.1</v>
      </c>
      <c r="L45" s="29">
        <v>6.1</v>
      </c>
      <c r="M45" s="29"/>
      <c r="N45" s="29"/>
      <c r="Q45" s="29">
        <f t="shared" si="1"/>
        <v>30</v>
      </c>
      <c r="R45" s="29" t="s">
        <v>71</v>
      </c>
      <c r="S45" s="29">
        <v>63</v>
      </c>
      <c r="T45" s="29" t="s">
        <v>1030</v>
      </c>
      <c r="U45" s="29" t="s">
        <v>1031</v>
      </c>
      <c r="V45" s="29">
        <v>3</v>
      </c>
      <c r="W45" s="29" t="s">
        <v>276</v>
      </c>
      <c r="X45" s="29">
        <v>3</v>
      </c>
      <c r="Y45" s="29">
        <v>3.1</v>
      </c>
      <c r="Z45" s="29">
        <v>6.1</v>
      </c>
      <c r="AA45" s="29"/>
      <c r="AB45" s="29"/>
      <c r="AE45" s="29">
        <f t="shared" si="2"/>
        <v>30</v>
      </c>
      <c r="AF45" s="29" t="s">
        <v>71</v>
      </c>
      <c r="AG45" s="29">
        <v>63</v>
      </c>
      <c r="AH45" s="29" t="s">
        <v>361</v>
      </c>
      <c r="AI45" s="29" t="s">
        <v>469</v>
      </c>
      <c r="AJ45" s="29">
        <v>123.1</v>
      </c>
      <c r="AK45" s="29" t="s">
        <v>276</v>
      </c>
      <c r="AL45" s="29">
        <v>3</v>
      </c>
      <c r="AM45" s="29">
        <v>3.1</v>
      </c>
      <c r="AN45" s="29">
        <v>6.1</v>
      </c>
      <c r="AO45" s="29"/>
      <c r="AP45" s="29"/>
    </row>
    <row r="46" spans="3:42">
      <c r="C46" s="29"/>
      <c r="D46" s="29"/>
      <c r="E46" s="29"/>
      <c r="F46" s="29"/>
      <c r="G46" s="29"/>
      <c r="H46" s="55"/>
      <c r="I46" s="29"/>
      <c r="J46" s="29"/>
      <c r="K46" s="29"/>
      <c r="L46" s="29"/>
      <c r="M46" s="29"/>
      <c r="N46" s="29"/>
      <c r="Q46" s="29">
        <f t="shared" si="1"/>
        <v>31</v>
      </c>
      <c r="R46" s="29" t="s">
        <v>71</v>
      </c>
      <c r="S46" s="29">
        <v>63</v>
      </c>
      <c r="T46" s="29" t="s">
        <v>1030</v>
      </c>
      <c r="U46" s="29" t="s">
        <v>1031</v>
      </c>
      <c r="V46" s="29">
        <f>55.1-3</f>
        <v>52.1</v>
      </c>
      <c r="W46" s="29" t="s">
        <v>276</v>
      </c>
      <c r="X46" s="29">
        <v>3</v>
      </c>
      <c r="Y46" s="29">
        <v>3.1</v>
      </c>
      <c r="Z46" s="29">
        <v>6.1</v>
      </c>
      <c r="AA46" s="29"/>
      <c r="AB46" s="29"/>
      <c r="AE46" s="29">
        <f t="shared" si="2"/>
        <v>31</v>
      </c>
      <c r="AF46" s="29" t="s">
        <v>71</v>
      </c>
      <c r="AG46" s="29">
        <v>63</v>
      </c>
      <c r="AH46" s="29" t="s">
        <v>365</v>
      </c>
      <c r="AI46" s="29" t="s">
        <v>529</v>
      </c>
      <c r="AJ46" s="29">
        <v>59.2</v>
      </c>
      <c r="AK46" s="29" t="s">
        <v>276</v>
      </c>
      <c r="AL46" s="29">
        <v>3</v>
      </c>
      <c r="AM46" s="29">
        <v>3.1</v>
      </c>
      <c r="AN46" s="29">
        <v>6.1</v>
      </c>
      <c r="AO46" s="29"/>
      <c r="AP46" s="29"/>
    </row>
    <row r="47" spans="3:42">
      <c r="C47" s="324"/>
      <c r="D47" s="324"/>
      <c r="E47" s="325" t="s">
        <v>86</v>
      </c>
      <c r="F47" s="325"/>
      <c r="G47" s="325"/>
      <c r="H47" s="325"/>
      <c r="I47" s="325" t="s">
        <v>87</v>
      </c>
      <c r="J47" s="325"/>
      <c r="K47" s="325"/>
      <c r="L47" s="325" t="s">
        <v>39</v>
      </c>
      <c r="M47" s="325"/>
      <c r="N47" s="325"/>
      <c r="Q47" s="29">
        <f t="shared" si="1"/>
        <v>32</v>
      </c>
      <c r="R47" s="29" t="s">
        <v>71</v>
      </c>
      <c r="S47" s="29">
        <v>63</v>
      </c>
      <c r="T47" s="29" t="s">
        <v>1031</v>
      </c>
      <c r="U47" s="29" t="s">
        <v>996</v>
      </c>
      <c r="V47" s="29">
        <v>26.1</v>
      </c>
      <c r="W47" s="29" t="s">
        <v>276</v>
      </c>
      <c r="X47" s="29">
        <v>3</v>
      </c>
      <c r="Y47" s="29">
        <v>3.1</v>
      </c>
      <c r="Z47" s="29">
        <v>6.1</v>
      </c>
      <c r="AA47" s="29"/>
      <c r="AB47" s="29"/>
      <c r="AE47" s="29">
        <f t="shared" si="2"/>
        <v>32</v>
      </c>
      <c r="AF47" s="29" t="s">
        <v>71</v>
      </c>
      <c r="AG47" s="29">
        <v>63</v>
      </c>
      <c r="AH47" s="29" t="s">
        <v>482</v>
      </c>
      <c r="AI47" s="29" t="s">
        <v>456</v>
      </c>
      <c r="AJ47" s="29">
        <v>130.19999999999999</v>
      </c>
      <c r="AK47" s="29" t="s">
        <v>276</v>
      </c>
      <c r="AL47" s="29">
        <v>3</v>
      </c>
      <c r="AM47" s="29">
        <v>3.1</v>
      </c>
      <c r="AN47" s="29">
        <v>6.1</v>
      </c>
      <c r="AO47" s="29"/>
      <c r="AP47" s="29"/>
    </row>
    <row r="48" spans="3:42">
      <c r="C48" s="295" t="s">
        <v>40</v>
      </c>
      <c r="D48" s="295"/>
      <c r="E48" s="317"/>
      <c r="F48" s="317"/>
      <c r="G48" s="317"/>
      <c r="H48" s="317"/>
      <c r="I48" s="317"/>
      <c r="J48" s="317"/>
      <c r="K48" s="317"/>
      <c r="L48" s="317"/>
      <c r="M48" s="317"/>
      <c r="N48" s="317"/>
      <c r="Q48" s="29">
        <f t="shared" si="1"/>
        <v>33</v>
      </c>
      <c r="R48" s="29" t="s">
        <v>71</v>
      </c>
      <c r="S48" s="29">
        <v>63</v>
      </c>
      <c r="T48" s="29" t="s">
        <v>1031</v>
      </c>
      <c r="U48" s="29" t="s">
        <v>958</v>
      </c>
      <c r="V48" s="29">
        <v>52.3</v>
      </c>
      <c r="W48" s="29" t="s">
        <v>276</v>
      </c>
      <c r="X48" s="29">
        <v>3</v>
      </c>
      <c r="Y48" s="29">
        <v>3.1</v>
      </c>
      <c r="Z48" s="29">
        <v>6.1</v>
      </c>
      <c r="AA48" s="29"/>
      <c r="AB48" s="29"/>
      <c r="AE48" s="29">
        <f t="shared" si="2"/>
        <v>33</v>
      </c>
      <c r="AF48" s="29" t="s">
        <v>71</v>
      </c>
      <c r="AG48" s="29">
        <v>63</v>
      </c>
      <c r="AH48" s="29" t="s">
        <v>456</v>
      </c>
      <c r="AI48" s="29" t="s">
        <v>497</v>
      </c>
      <c r="AJ48" s="29">
        <v>70.5</v>
      </c>
      <c r="AK48" s="29" t="s">
        <v>276</v>
      </c>
      <c r="AL48" s="29">
        <v>3</v>
      </c>
      <c r="AM48" s="29">
        <v>3.1</v>
      </c>
      <c r="AN48" s="29">
        <v>6.1</v>
      </c>
      <c r="AO48" s="29"/>
      <c r="AP48" s="29"/>
    </row>
    <row r="49" spans="3:42">
      <c r="C49" s="295" t="s">
        <v>41</v>
      </c>
      <c r="D49" s="295"/>
      <c r="E49" s="317"/>
      <c r="F49" s="317"/>
      <c r="G49" s="317"/>
      <c r="H49" s="317"/>
      <c r="I49" s="317"/>
      <c r="J49" s="317"/>
      <c r="K49" s="317"/>
      <c r="L49" s="317"/>
      <c r="M49" s="317"/>
      <c r="N49" s="317"/>
      <c r="Q49" s="29">
        <f t="shared" si="1"/>
        <v>34</v>
      </c>
      <c r="R49" s="29" t="s">
        <v>71</v>
      </c>
      <c r="S49" s="29">
        <v>63</v>
      </c>
      <c r="T49" s="29" t="s">
        <v>958</v>
      </c>
      <c r="U49" s="29" t="s">
        <v>909</v>
      </c>
      <c r="V49" s="29">
        <v>3</v>
      </c>
      <c r="W49" s="29" t="s">
        <v>276</v>
      </c>
      <c r="X49" s="29">
        <v>3</v>
      </c>
      <c r="Y49" s="29">
        <v>3.1</v>
      </c>
      <c r="Z49" s="29">
        <v>6.1</v>
      </c>
      <c r="AA49" s="29"/>
      <c r="AB49" s="29"/>
      <c r="AE49" s="29">
        <f t="shared" si="2"/>
        <v>34</v>
      </c>
      <c r="AF49" s="29" t="s">
        <v>71</v>
      </c>
      <c r="AG49" s="29">
        <v>63</v>
      </c>
      <c r="AH49" s="29" t="s">
        <v>530</v>
      </c>
      <c r="AI49" s="29" t="s">
        <v>972</v>
      </c>
      <c r="AJ49" s="29">
        <v>293.10000000000002</v>
      </c>
      <c r="AK49" s="29" t="s">
        <v>276</v>
      </c>
      <c r="AL49" s="29">
        <v>3</v>
      </c>
      <c r="AM49" s="29">
        <v>3.1</v>
      </c>
      <c r="AN49" s="29">
        <v>6.1</v>
      </c>
      <c r="AO49" s="29"/>
      <c r="AP49" s="29"/>
    </row>
    <row r="50" spans="3:42">
      <c r="C50" s="295" t="s">
        <v>42</v>
      </c>
      <c r="D50" s="295"/>
      <c r="E50" s="317"/>
      <c r="F50" s="317"/>
      <c r="G50" s="317"/>
      <c r="H50" s="317"/>
      <c r="I50" s="317"/>
      <c r="J50" s="317"/>
      <c r="K50" s="317"/>
      <c r="L50" s="317"/>
      <c r="M50" s="317"/>
      <c r="N50" s="317"/>
      <c r="Q50" s="29">
        <f t="shared" si="1"/>
        <v>35</v>
      </c>
      <c r="R50" s="29" t="s">
        <v>71</v>
      </c>
      <c r="S50" s="29">
        <v>63</v>
      </c>
      <c r="T50" s="29" t="s">
        <v>958</v>
      </c>
      <c r="U50" s="29" t="s">
        <v>909</v>
      </c>
      <c r="V50" s="29">
        <f>28.5-3</f>
        <v>25.5</v>
      </c>
      <c r="W50" s="29" t="s">
        <v>276</v>
      </c>
      <c r="X50" s="29">
        <v>3</v>
      </c>
      <c r="Y50" s="29">
        <v>3.1</v>
      </c>
      <c r="Z50" s="29">
        <v>6.1</v>
      </c>
      <c r="AA50" s="29"/>
      <c r="AB50" s="29"/>
      <c r="AE50" s="29">
        <f t="shared" si="2"/>
        <v>35</v>
      </c>
      <c r="AF50" s="29" t="s">
        <v>71</v>
      </c>
      <c r="AG50" s="29">
        <v>63</v>
      </c>
      <c r="AH50" s="29" t="s">
        <v>482</v>
      </c>
      <c r="AI50" s="29" t="s">
        <v>454</v>
      </c>
      <c r="AJ50" s="29">
        <v>355.1</v>
      </c>
      <c r="AK50" s="29" t="s">
        <v>276</v>
      </c>
      <c r="AL50" s="29">
        <v>3</v>
      </c>
      <c r="AM50" s="29">
        <v>3.1</v>
      </c>
      <c r="AN50" s="29">
        <v>6.1</v>
      </c>
      <c r="AO50" s="29"/>
      <c r="AP50" s="29"/>
    </row>
    <row r="51" spans="3:42">
      <c r="C51" s="295" t="s">
        <v>43</v>
      </c>
      <c r="D51" s="295"/>
      <c r="E51" s="315"/>
      <c r="F51" s="316"/>
      <c r="G51" s="316"/>
      <c r="H51" s="316"/>
      <c r="I51" s="317"/>
      <c r="J51" s="317"/>
      <c r="K51" s="317"/>
      <c r="L51" s="317"/>
      <c r="M51" s="317"/>
      <c r="N51" s="317"/>
      <c r="Q51" s="29">
        <f t="shared" si="1"/>
        <v>36</v>
      </c>
      <c r="R51" s="29" t="s">
        <v>71</v>
      </c>
      <c r="S51" s="29">
        <v>63</v>
      </c>
      <c r="T51" s="29" t="s">
        <v>926</v>
      </c>
      <c r="U51" s="29" t="s">
        <v>958</v>
      </c>
      <c r="V51" s="29">
        <v>35.200000000000003</v>
      </c>
      <c r="W51" s="29" t="s">
        <v>276</v>
      </c>
      <c r="X51" s="29">
        <v>3</v>
      </c>
      <c r="Y51" s="29">
        <v>3.1</v>
      </c>
      <c r="Z51" s="29">
        <v>6.1</v>
      </c>
      <c r="AA51" s="29"/>
      <c r="AB51" s="29"/>
      <c r="AE51" s="29">
        <f t="shared" si="2"/>
        <v>36</v>
      </c>
      <c r="AF51" s="29" t="s">
        <v>71</v>
      </c>
      <c r="AG51" s="29">
        <v>63</v>
      </c>
      <c r="AH51" s="29" t="s">
        <v>454</v>
      </c>
      <c r="AI51" s="29" t="s">
        <v>495</v>
      </c>
      <c r="AJ51" s="29">
        <v>367.2</v>
      </c>
      <c r="AK51" s="29" t="s">
        <v>276</v>
      </c>
      <c r="AL51" s="29">
        <v>3</v>
      </c>
      <c r="AM51" s="29">
        <v>3.1</v>
      </c>
      <c r="AN51" s="29">
        <v>6.1</v>
      </c>
      <c r="AO51" s="29"/>
      <c r="AP51" s="29"/>
    </row>
    <row r="52" spans="3:42">
      <c r="C52" s="46"/>
      <c r="D52" s="46"/>
      <c r="E52" s="46"/>
      <c r="F52" s="46"/>
      <c r="G52" s="46"/>
      <c r="H52" s="56"/>
      <c r="I52" s="46"/>
      <c r="J52" s="46"/>
      <c r="K52" s="46"/>
      <c r="L52" s="46"/>
      <c r="M52" s="46"/>
      <c r="N52" s="46"/>
      <c r="Q52" s="29">
        <f t="shared" si="1"/>
        <v>37</v>
      </c>
      <c r="R52" s="29" t="s">
        <v>71</v>
      </c>
      <c r="S52" s="29">
        <v>63</v>
      </c>
      <c r="T52" s="29" t="s">
        <v>926</v>
      </c>
      <c r="U52" s="29" t="s">
        <v>349</v>
      </c>
      <c r="V52" s="29">
        <v>61.1</v>
      </c>
      <c r="W52" s="29" t="s">
        <v>276</v>
      </c>
      <c r="X52" s="29">
        <v>3</v>
      </c>
      <c r="Y52" s="29">
        <v>3.1</v>
      </c>
      <c r="Z52" s="29">
        <v>6.1</v>
      </c>
      <c r="AA52" s="29"/>
      <c r="AB52" s="29"/>
      <c r="AE52" s="29">
        <f t="shared" si="2"/>
        <v>37</v>
      </c>
      <c r="AF52" s="29" t="s">
        <v>71</v>
      </c>
      <c r="AG52" s="29">
        <v>63</v>
      </c>
      <c r="AH52" s="29" t="s">
        <v>495</v>
      </c>
      <c r="AI52" s="29" t="s">
        <v>359</v>
      </c>
      <c r="AJ52" s="29">
        <v>39.299999999999997</v>
      </c>
      <c r="AK52" s="29" t="s">
        <v>276</v>
      </c>
      <c r="AL52" s="29">
        <v>3</v>
      </c>
      <c r="AM52" s="29">
        <v>3.1</v>
      </c>
      <c r="AN52" s="29">
        <v>6.1</v>
      </c>
      <c r="AO52" s="29"/>
      <c r="AP52" s="29"/>
    </row>
    <row r="53" spans="3:42">
      <c r="C53" s="46"/>
      <c r="D53" s="46"/>
      <c r="E53" s="46"/>
      <c r="F53" s="46"/>
      <c r="G53" s="46"/>
      <c r="H53" s="56"/>
      <c r="I53" s="46"/>
      <c r="J53" s="46"/>
      <c r="K53" s="46"/>
      <c r="L53" s="46"/>
      <c r="M53" s="46"/>
      <c r="N53" s="46"/>
      <c r="Q53" s="29">
        <f t="shared" si="1"/>
        <v>38</v>
      </c>
      <c r="R53" s="29" t="s">
        <v>71</v>
      </c>
      <c r="S53" s="29">
        <v>63</v>
      </c>
      <c r="T53" s="29" t="s">
        <v>996</v>
      </c>
      <c r="U53" s="29" t="s">
        <v>981</v>
      </c>
      <c r="V53" s="29">
        <v>23.4</v>
      </c>
      <c r="W53" s="29" t="s">
        <v>276</v>
      </c>
      <c r="X53" s="29">
        <v>3</v>
      </c>
      <c r="Y53" s="29">
        <v>3.1</v>
      </c>
      <c r="Z53" s="29">
        <v>6.1</v>
      </c>
      <c r="AA53" s="29"/>
      <c r="AB53" s="29"/>
      <c r="AE53" s="29"/>
      <c r="AF53" s="29"/>
      <c r="AG53" s="29"/>
      <c r="AH53" s="29"/>
      <c r="AI53" s="29"/>
      <c r="AJ53" s="29"/>
      <c r="AK53" s="29"/>
      <c r="AL53" s="29"/>
      <c r="AM53" s="29"/>
      <c r="AN53" s="29"/>
      <c r="AO53" s="29"/>
      <c r="AP53" s="29"/>
    </row>
    <row r="54" spans="3:42">
      <c r="C54" s="46"/>
      <c r="D54" s="46"/>
      <c r="E54" s="46"/>
      <c r="F54" s="46"/>
      <c r="G54" s="46"/>
      <c r="H54" s="46"/>
      <c r="I54" s="46"/>
      <c r="J54" s="46"/>
      <c r="K54" s="46"/>
      <c r="L54" s="46"/>
      <c r="M54" s="46"/>
      <c r="N54" s="46"/>
      <c r="Q54" s="29">
        <f t="shared" si="1"/>
        <v>39</v>
      </c>
      <c r="R54" s="29" t="s">
        <v>71</v>
      </c>
      <c r="S54" s="29">
        <v>63</v>
      </c>
      <c r="T54" s="29" t="s">
        <v>440</v>
      </c>
      <c r="U54" s="29" t="s">
        <v>333</v>
      </c>
      <c r="V54" s="29">
        <v>137.19999999999999</v>
      </c>
      <c r="W54" s="29" t="s">
        <v>276</v>
      </c>
      <c r="X54" s="29">
        <v>3</v>
      </c>
      <c r="Y54" s="29">
        <v>3.1</v>
      </c>
      <c r="Z54" s="29">
        <v>6.1</v>
      </c>
      <c r="AA54" s="29"/>
      <c r="AB54" s="29"/>
      <c r="AE54" s="324"/>
      <c r="AF54" s="324"/>
      <c r="AG54" s="325" t="s">
        <v>86</v>
      </c>
      <c r="AH54" s="325"/>
      <c r="AI54" s="325"/>
      <c r="AJ54" s="325"/>
      <c r="AK54" s="325" t="s">
        <v>87</v>
      </c>
      <c r="AL54" s="325"/>
      <c r="AM54" s="325"/>
      <c r="AN54" s="325" t="s">
        <v>39</v>
      </c>
      <c r="AO54" s="325"/>
      <c r="AP54" s="325"/>
    </row>
    <row r="55" spans="3:42">
      <c r="C55" s="46"/>
      <c r="D55" s="46"/>
      <c r="E55" s="46"/>
      <c r="F55" s="46"/>
      <c r="G55" s="46"/>
      <c r="H55" s="46"/>
      <c r="I55" s="46"/>
      <c r="J55" s="46"/>
      <c r="K55" s="46"/>
      <c r="L55" s="46"/>
      <c r="M55" s="46"/>
      <c r="N55" s="46"/>
      <c r="Q55" s="29">
        <f t="shared" si="1"/>
        <v>40</v>
      </c>
      <c r="R55" s="29" t="s">
        <v>71</v>
      </c>
      <c r="S55" s="29">
        <v>63</v>
      </c>
      <c r="T55" s="29" t="s">
        <v>333</v>
      </c>
      <c r="U55" s="29" t="s">
        <v>296</v>
      </c>
      <c r="V55" s="29">
        <v>13.1</v>
      </c>
      <c r="W55" s="29" t="s">
        <v>276</v>
      </c>
      <c r="X55" s="29">
        <v>3</v>
      </c>
      <c r="Y55" s="29">
        <v>3.1</v>
      </c>
      <c r="Z55" s="29">
        <v>6.1</v>
      </c>
      <c r="AA55" s="29"/>
      <c r="AB55" s="29"/>
      <c r="AE55" s="295" t="s">
        <v>40</v>
      </c>
      <c r="AF55" s="295"/>
      <c r="AG55" s="317"/>
      <c r="AH55" s="317"/>
      <c r="AI55" s="317"/>
      <c r="AJ55" s="317"/>
      <c r="AK55" s="317"/>
      <c r="AL55" s="317"/>
      <c r="AM55" s="317"/>
      <c r="AN55" s="317"/>
      <c r="AO55" s="317"/>
      <c r="AP55" s="317"/>
    </row>
    <row r="56" spans="3:42">
      <c r="C56" s="46"/>
      <c r="D56" s="46"/>
      <c r="E56" s="46"/>
      <c r="F56" s="46"/>
      <c r="G56" s="46"/>
      <c r="H56" s="56"/>
      <c r="I56" s="46"/>
      <c r="J56" s="46"/>
      <c r="K56" s="46"/>
      <c r="L56" s="46"/>
      <c r="M56" s="46"/>
      <c r="N56" s="46"/>
      <c r="Q56" s="29">
        <f t="shared" si="1"/>
        <v>41</v>
      </c>
      <c r="R56" s="29" t="s">
        <v>71</v>
      </c>
      <c r="S56" s="29">
        <v>63</v>
      </c>
      <c r="T56" s="29" t="s">
        <v>981</v>
      </c>
      <c r="U56" s="29" t="s">
        <v>920</v>
      </c>
      <c r="V56" s="29">
        <v>45.1</v>
      </c>
      <c r="W56" s="29" t="s">
        <v>276</v>
      </c>
      <c r="X56" s="29">
        <v>3</v>
      </c>
      <c r="Y56" s="29">
        <v>3.1</v>
      </c>
      <c r="Z56" s="29">
        <v>6.1</v>
      </c>
      <c r="AA56" s="29"/>
      <c r="AB56" s="29"/>
      <c r="AE56" s="295" t="s">
        <v>41</v>
      </c>
      <c r="AF56" s="295"/>
      <c r="AG56" s="317"/>
      <c r="AH56" s="317"/>
      <c r="AI56" s="317"/>
      <c r="AJ56" s="317"/>
      <c r="AK56" s="317"/>
      <c r="AL56" s="317"/>
      <c r="AM56" s="317"/>
      <c r="AN56" s="317"/>
      <c r="AO56" s="317"/>
      <c r="AP56" s="317"/>
    </row>
    <row r="57" spans="3:42">
      <c r="C57" s="46"/>
      <c r="D57" s="46"/>
      <c r="E57" s="46"/>
      <c r="F57" s="46"/>
      <c r="G57" s="46"/>
      <c r="H57" s="46"/>
      <c r="I57" s="46"/>
      <c r="J57" s="46"/>
      <c r="K57" s="46"/>
      <c r="L57" s="46"/>
      <c r="M57" s="46"/>
      <c r="N57" s="46"/>
      <c r="Q57" s="29">
        <f t="shared" si="1"/>
        <v>42</v>
      </c>
      <c r="R57" s="29" t="s">
        <v>71</v>
      </c>
      <c r="S57" s="29">
        <v>63</v>
      </c>
      <c r="T57" s="29" t="s">
        <v>920</v>
      </c>
      <c r="U57" s="29" t="s">
        <v>931</v>
      </c>
      <c r="V57" s="29">
        <v>3</v>
      </c>
      <c r="W57" s="29" t="s">
        <v>276</v>
      </c>
      <c r="X57" s="29">
        <v>3</v>
      </c>
      <c r="Y57" s="29">
        <v>3.1</v>
      </c>
      <c r="Z57" s="29">
        <v>6.1</v>
      </c>
      <c r="AA57" s="29"/>
      <c r="AB57" s="29"/>
      <c r="AE57" s="295" t="s">
        <v>42</v>
      </c>
      <c r="AF57" s="295"/>
      <c r="AG57" s="317"/>
      <c r="AH57" s="317"/>
      <c r="AI57" s="317"/>
      <c r="AJ57" s="317"/>
      <c r="AK57" s="317"/>
      <c r="AL57" s="317"/>
      <c r="AM57" s="317"/>
      <c r="AN57" s="317"/>
      <c r="AO57" s="317"/>
      <c r="AP57" s="317"/>
    </row>
    <row r="58" spans="3:42">
      <c r="C58" s="46"/>
      <c r="D58" s="46"/>
      <c r="E58" s="46"/>
      <c r="F58" s="46"/>
      <c r="G58" s="46"/>
      <c r="H58" s="46"/>
      <c r="I58" s="46"/>
      <c r="J58" s="46"/>
      <c r="K58" s="46"/>
      <c r="L58" s="46"/>
      <c r="M58" s="46"/>
      <c r="N58" s="46"/>
      <c r="Q58" s="29">
        <f t="shared" si="1"/>
        <v>43</v>
      </c>
      <c r="R58" s="29" t="s">
        <v>71</v>
      </c>
      <c r="S58" s="29">
        <v>63</v>
      </c>
      <c r="T58" s="29" t="s">
        <v>920</v>
      </c>
      <c r="U58" s="29" t="s">
        <v>931</v>
      </c>
      <c r="V58" s="29">
        <f>20.1-3</f>
        <v>17.100000000000001</v>
      </c>
      <c r="W58" s="29" t="s">
        <v>276</v>
      </c>
      <c r="X58" s="29">
        <v>3</v>
      </c>
      <c r="Y58" s="29">
        <v>3.1</v>
      </c>
      <c r="Z58" s="29">
        <v>6.1</v>
      </c>
      <c r="AA58" s="29"/>
      <c r="AB58" s="29"/>
      <c r="AE58" s="295" t="s">
        <v>43</v>
      </c>
      <c r="AF58" s="295"/>
      <c r="AG58" s="315"/>
      <c r="AH58" s="316"/>
      <c r="AI58" s="316"/>
      <c r="AJ58" s="316"/>
      <c r="AK58" s="317"/>
      <c r="AL58" s="317"/>
      <c r="AM58" s="317"/>
      <c r="AN58" s="317"/>
      <c r="AO58" s="317"/>
      <c r="AP58" s="317"/>
    </row>
    <row r="59" spans="3:42">
      <c r="C59" s="46"/>
      <c r="D59" s="46"/>
      <c r="E59" s="46"/>
      <c r="F59" s="46"/>
      <c r="G59" s="46"/>
      <c r="H59" s="46"/>
      <c r="I59" s="46"/>
      <c r="J59" s="46"/>
      <c r="K59" s="46"/>
      <c r="L59" s="46"/>
      <c r="M59" s="46"/>
      <c r="N59" s="46"/>
      <c r="Q59" s="29">
        <f t="shared" si="1"/>
        <v>44</v>
      </c>
      <c r="R59" s="29" t="s">
        <v>71</v>
      </c>
      <c r="S59" s="29">
        <v>63</v>
      </c>
      <c r="T59" s="29" t="s">
        <v>289</v>
      </c>
      <c r="U59" s="29" t="s">
        <v>349</v>
      </c>
      <c r="V59" s="29">
        <v>56.9</v>
      </c>
      <c r="W59" s="29" t="s">
        <v>276</v>
      </c>
      <c r="X59" s="29">
        <v>3</v>
      </c>
      <c r="Y59" s="29">
        <v>3.1</v>
      </c>
      <c r="Z59" s="29">
        <v>6.1</v>
      </c>
      <c r="AA59" s="29"/>
      <c r="AB59" s="29"/>
      <c r="AE59" s="46"/>
      <c r="AF59" s="46"/>
      <c r="AG59" s="46"/>
      <c r="AH59" s="46"/>
      <c r="AI59" s="46"/>
      <c r="AJ59" s="46"/>
      <c r="AK59" s="46"/>
      <c r="AL59" s="46"/>
      <c r="AM59" s="46"/>
      <c r="AN59" s="46"/>
      <c r="AO59" s="46"/>
      <c r="AP59" s="46"/>
    </row>
    <row r="60" spans="3:42">
      <c r="C60" s="46"/>
      <c r="D60" s="46"/>
      <c r="E60" s="46"/>
      <c r="F60" s="46"/>
      <c r="G60" s="46"/>
      <c r="H60" s="46"/>
      <c r="I60" s="46"/>
      <c r="J60" s="46"/>
      <c r="K60" s="46"/>
      <c r="L60" s="46"/>
      <c r="M60" s="46"/>
      <c r="N60" s="46"/>
      <c r="Q60" s="29">
        <f t="shared" si="1"/>
        <v>45</v>
      </c>
      <c r="R60" s="29" t="s">
        <v>71</v>
      </c>
      <c r="S60" s="29">
        <v>63</v>
      </c>
      <c r="T60" s="29" t="s">
        <v>308</v>
      </c>
      <c r="U60" s="29" t="s">
        <v>292</v>
      </c>
      <c r="V60" s="29">
        <v>8.4</v>
      </c>
      <c r="W60" s="29" t="s">
        <v>276</v>
      </c>
      <c r="X60" s="29">
        <v>3</v>
      </c>
      <c r="Y60" s="29">
        <v>3.1</v>
      </c>
      <c r="Z60" s="29">
        <v>6.1</v>
      </c>
      <c r="AA60" s="29"/>
      <c r="AB60" s="29"/>
      <c r="AE60" s="46"/>
      <c r="AF60" s="46"/>
      <c r="AG60" s="46"/>
      <c r="AH60" s="46"/>
      <c r="AI60" s="46"/>
      <c r="AJ60" s="46"/>
      <c r="AK60" s="46"/>
      <c r="AL60" s="46"/>
      <c r="AM60" s="46"/>
      <c r="AN60" s="46"/>
      <c r="AO60" s="46"/>
      <c r="AP60" s="46"/>
    </row>
    <row r="61" spans="3:42">
      <c r="C61" s="46"/>
      <c r="D61" s="46"/>
      <c r="E61" s="46"/>
      <c r="F61" s="46"/>
      <c r="G61" s="46"/>
      <c r="H61" s="46"/>
      <c r="I61" s="46"/>
      <c r="J61" s="46"/>
      <c r="K61" s="46"/>
      <c r="L61" s="46"/>
      <c r="M61" s="46"/>
      <c r="N61" s="46"/>
      <c r="Q61" s="29">
        <f t="shared" si="1"/>
        <v>46</v>
      </c>
      <c r="R61" s="29" t="s">
        <v>71</v>
      </c>
      <c r="S61" s="29">
        <v>63</v>
      </c>
      <c r="T61" s="29" t="s">
        <v>292</v>
      </c>
      <c r="U61" s="29" t="s">
        <v>327</v>
      </c>
      <c r="V61" s="29">
        <v>96.3</v>
      </c>
      <c r="W61" s="29" t="s">
        <v>276</v>
      </c>
      <c r="X61" s="29">
        <v>3</v>
      </c>
      <c r="Y61" s="29">
        <v>3.1</v>
      </c>
      <c r="Z61" s="29">
        <v>6.1</v>
      </c>
      <c r="AA61" s="29"/>
      <c r="AB61" s="29"/>
      <c r="AE61" s="46"/>
      <c r="AF61" s="46"/>
      <c r="AG61" s="46"/>
      <c r="AH61" s="46"/>
      <c r="AI61" s="46"/>
      <c r="AJ61" s="46"/>
      <c r="AK61" s="46"/>
      <c r="AL61" s="46"/>
      <c r="AM61" s="46"/>
      <c r="AN61" s="46"/>
      <c r="AO61" s="46"/>
      <c r="AP61" s="46"/>
    </row>
    <row r="62" spans="3:42">
      <c r="C62" s="46"/>
      <c r="D62" s="46"/>
      <c r="E62" s="46"/>
      <c r="F62" s="46"/>
      <c r="G62" s="46"/>
      <c r="H62" s="46"/>
      <c r="I62" s="46"/>
      <c r="J62" s="46"/>
      <c r="K62" s="46"/>
      <c r="L62" s="46"/>
      <c r="M62" s="46"/>
      <c r="N62" s="46"/>
      <c r="Q62" s="29">
        <f t="shared" si="1"/>
        <v>47</v>
      </c>
      <c r="R62" s="29" t="s">
        <v>71</v>
      </c>
      <c r="S62" s="29">
        <v>63</v>
      </c>
      <c r="T62" s="29" t="s">
        <v>327</v>
      </c>
      <c r="U62" s="29" t="s">
        <v>346</v>
      </c>
      <c r="V62" s="29">
        <v>29.1</v>
      </c>
      <c r="W62" s="29" t="s">
        <v>276</v>
      </c>
      <c r="X62" s="29">
        <v>3</v>
      </c>
      <c r="Y62" s="29">
        <v>3.1</v>
      </c>
      <c r="Z62" s="29">
        <v>6.1</v>
      </c>
      <c r="AA62" s="29"/>
      <c r="AB62" s="29"/>
      <c r="AE62" s="46"/>
      <c r="AF62" s="46"/>
      <c r="AG62" s="46"/>
      <c r="AH62" s="46"/>
      <c r="AI62" s="46"/>
      <c r="AJ62" s="46"/>
      <c r="AK62" s="46"/>
      <c r="AL62" s="46"/>
      <c r="AM62" s="46"/>
      <c r="AN62" s="46"/>
      <c r="AO62" s="46"/>
      <c r="AP62" s="46"/>
    </row>
    <row r="63" spans="3:42">
      <c r="C63" s="46"/>
      <c r="D63" s="46"/>
      <c r="E63" s="46"/>
      <c r="F63" s="46"/>
      <c r="G63" s="46"/>
      <c r="H63" s="46"/>
      <c r="I63" s="46"/>
      <c r="J63" s="46"/>
      <c r="K63" s="46"/>
      <c r="L63" s="46"/>
      <c r="M63" s="46"/>
      <c r="N63" s="46"/>
      <c r="Q63" s="29">
        <f t="shared" si="1"/>
        <v>48</v>
      </c>
      <c r="R63" s="29" t="s">
        <v>71</v>
      </c>
      <c r="S63" s="29">
        <v>63</v>
      </c>
      <c r="T63" s="29" t="s">
        <v>346</v>
      </c>
      <c r="U63" s="29" t="s">
        <v>324</v>
      </c>
      <c r="V63" s="29">
        <v>35.200000000000003</v>
      </c>
      <c r="W63" s="29" t="s">
        <v>276</v>
      </c>
      <c r="X63" s="29">
        <v>3</v>
      </c>
      <c r="Y63" s="29">
        <v>3.1</v>
      </c>
      <c r="Z63" s="29">
        <v>6.1</v>
      </c>
      <c r="AA63" s="29"/>
      <c r="AB63" s="29"/>
      <c r="AE63" s="46"/>
      <c r="AF63" s="46"/>
      <c r="AG63" s="46"/>
      <c r="AH63" s="46"/>
      <c r="AI63" s="46"/>
      <c r="AJ63" s="46"/>
      <c r="AK63" s="46"/>
      <c r="AL63" s="46"/>
      <c r="AM63" s="46"/>
      <c r="AN63" s="46"/>
      <c r="AO63" s="46"/>
      <c r="AP63" s="46"/>
    </row>
    <row r="64" spans="3:42">
      <c r="C64" s="46"/>
      <c r="D64" s="46"/>
      <c r="E64" s="46"/>
      <c r="F64" s="46"/>
      <c r="G64" s="46"/>
      <c r="H64" s="46"/>
      <c r="I64" s="46"/>
      <c r="J64" s="46"/>
      <c r="K64" s="46"/>
      <c r="L64" s="46"/>
      <c r="M64" s="46"/>
      <c r="N64" s="46"/>
      <c r="Q64" s="29">
        <f t="shared" si="1"/>
        <v>49</v>
      </c>
      <c r="R64" s="29" t="s">
        <v>71</v>
      </c>
      <c r="S64" s="29">
        <v>63</v>
      </c>
      <c r="T64" s="29" t="s">
        <v>346</v>
      </c>
      <c r="U64" s="29" t="s">
        <v>958</v>
      </c>
      <c r="V64" s="29">
        <v>38.5</v>
      </c>
      <c r="W64" s="29" t="s">
        <v>276</v>
      </c>
      <c r="X64" s="29">
        <v>3</v>
      </c>
      <c r="Y64" s="29">
        <v>3.1</v>
      </c>
      <c r="Z64" s="29">
        <v>6.1</v>
      </c>
      <c r="AA64" s="29"/>
      <c r="AB64" s="29"/>
      <c r="AE64" s="46"/>
      <c r="AF64" s="46"/>
      <c r="AG64" s="46"/>
      <c r="AH64" s="46"/>
      <c r="AI64" s="46"/>
      <c r="AJ64" s="46"/>
      <c r="AK64" s="46"/>
      <c r="AL64" s="46"/>
      <c r="AM64" s="46"/>
      <c r="AN64" s="46"/>
      <c r="AO64" s="46"/>
      <c r="AP64" s="46"/>
    </row>
    <row r="65" spans="3:42">
      <c r="C65" s="46"/>
      <c r="D65" s="46"/>
      <c r="E65" s="46"/>
      <c r="F65" s="46"/>
      <c r="G65" s="46"/>
      <c r="H65" s="46"/>
      <c r="I65" s="46"/>
      <c r="J65" s="46"/>
      <c r="K65" s="46"/>
      <c r="L65" s="46"/>
      <c r="M65" s="46"/>
      <c r="N65" s="46"/>
      <c r="Q65" s="29">
        <f t="shared" si="1"/>
        <v>50</v>
      </c>
      <c r="R65" s="29" t="s">
        <v>71</v>
      </c>
      <c r="S65" s="29">
        <v>63</v>
      </c>
      <c r="T65" s="29" t="s">
        <v>441</v>
      </c>
      <c r="U65" s="29" t="s">
        <v>279</v>
      </c>
      <c r="V65" s="29">
        <v>42</v>
      </c>
      <c r="W65" s="29" t="s">
        <v>276</v>
      </c>
      <c r="X65" s="29">
        <v>3</v>
      </c>
      <c r="Y65" s="29">
        <v>3.1</v>
      </c>
      <c r="Z65" s="29">
        <v>6.1</v>
      </c>
      <c r="AA65" s="29"/>
      <c r="AB65" s="29"/>
      <c r="AE65" s="46"/>
      <c r="AF65" s="46"/>
      <c r="AG65" s="46"/>
      <c r="AH65" s="46"/>
      <c r="AI65" s="46"/>
      <c r="AJ65" s="46"/>
      <c r="AK65" s="46"/>
      <c r="AL65" s="46"/>
      <c r="AM65" s="46"/>
      <c r="AN65" s="46"/>
      <c r="AO65" s="46"/>
      <c r="AP65" s="46"/>
    </row>
    <row r="66" spans="3:42">
      <c r="C66" s="46"/>
      <c r="D66" s="46"/>
      <c r="E66" s="46"/>
      <c r="F66" s="46"/>
      <c r="G66" s="46"/>
      <c r="H66" s="46"/>
      <c r="I66" s="46"/>
      <c r="J66" s="46"/>
      <c r="K66" s="46"/>
      <c r="L66" s="46"/>
      <c r="M66" s="46"/>
      <c r="N66" s="46"/>
      <c r="Q66" s="29">
        <f t="shared" si="1"/>
        <v>51</v>
      </c>
      <c r="R66" s="29" t="s">
        <v>71</v>
      </c>
      <c r="S66" s="29">
        <v>63</v>
      </c>
      <c r="T66" s="29" t="s">
        <v>279</v>
      </c>
      <c r="U66" s="29" t="s">
        <v>363</v>
      </c>
      <c r="V66" s="29">
        <v>40</v>
      </c>
      <c r="W66" s="29" t="s">
        <v>276</v>
      </c>
      <c r="X66" s="29">
        <v>3</v>
      </c>
      <c r="Y66" s="29">
        <v>3.1</v>
      </c>
      <c r="Z66" s="29">
        <v>6.1</v>
      </c>
      <c r="AA66" s="29"/>
      <c r="AB66" s="29"/>
      <c r="AE66" s="46"/>
      <c r="AF66" s="46"/>
      <c r="AG66" s="46"/>
      <c r="AH66" s="46"/>
      <c r="AI66" s="46"/>
      <c r="AJ66" s="46"/>
      <c r="AK66" s="46"/>
      <c r="AL66" s="46"/>
      <c r="AM66" s="46"/>
      <c r="AN66" s="46"/>
      <c r="AO66" s="46"/>
      <c r="AP66" s="46"/>
    </row>
    <row r="67" spans="3:42">
      <c r="C67" s="46"/>
      <c r="D67" s="46"/>
      <c r="E67" s="46"/>
      <c r="F67" s="46"/>
      <c r="G67" s="46"/>
      <c r="H67" s="46"/>
      <c r="I67" s="46"/>
      <c r="J67" s="46"/>
      <c r="K67" s="46"/>
      <c r="L67" s="46"/>
      <c r="M67" s="46"/>
      <c r="N67" s="46"/>
      <c r="Q67" s="29">
        <f t="shared" si="1"/>
        <v>52</v>
      </c>
      <c r="R67" s="29" t="s">
        <v>71</v>
      </c>
      <c r="S67" s="29">
        <v>63</v>
      </c>
      <c r="T67" s="29" t="s">
        <v>279</v>
      </c>
      <c r="U67" s="29" t="s">
        <v>893</v>
      </c>
      <c r="V67" s="29">
        <v>102</v>
      </c>
      <c r="W67" s="29" t="s">
        <v>276</v>
      </c>
      <c r="X67" s="29">
        <v>3</v>
      </c>
      <c r="Y67" s="29">
        <v>3.1</v>
      </c>
      <c r="Z67" s="29">
        <v>6.1</v>
      </c>
      <c r="AA67" s="29"/>
      <c r="AB67" s="29"/>
      <c r="AE67" s="46"/>
      <c r="AF67" s="46"/>
      <c r="AG67" s="46"/>
      <c r="AH67" s="46"/>
      <c r="AI67" s="46"/>
      <c r="AJ67" s="46"/>
      <c r="AK67" s="46"/>
      <c r="AL67" s="46"/>
      <c r="AM67" s="46"/>
      <c r="AN67" s="46"/>
      <c r="AO67" s="46"/>
      <c r="AP67" s="46"/>
    </row>
    <row r="68" spans="3:42">
      <c r="C68" s="322"/>
      <c r="D68" s="322"/>
      <c r="E68" s="323"/>
      <c r="F68" s="323"/>
      <c r="G68" s="323"/>
      <c r="H68" s="323"/>
      <c r="I68" s="323"/>
      <c r="J68" s="323"/>
      <c r="K68" s="323"/>
      <c r="L68" s="323"/>
      <c r="M68" s="323"/>
      <c r="N68" s="323"/>
      <c r="Q68" s="324"/>
      <c r="R68" s="324"/>
      <c r="S68" s="325"/>
      <c r="T68" s="325"/>
      <c r="U68" s="325"/>
      <c r="V68" s="325"/>
      <c r="W68" s="325"/>
      <c r="X68" s="325"/>
      <c r="Y68" s="325"/>
      <c r="Z68" s="325"/>
      <c r="AA68" s="325"/>
      <c r="AB68" s="325"/>
      <c r="AE68" s="322"/>
      <c r="AF68" s="322"/>
      <c r="AG68" s="323"/>
      <c r="AH68" s="323"/>
      <c r="AI68" s="323"/>
      <c r="AJ68" s="323"/>
      <c r="AK68" s="323"/>
      <c r="AL68" s="323"/>
      <c r="AM68" s="323"/>
      <c r="AN68" s="323"/>
      <c r="AO68" s="323"/>
      <c r="AP68" s="323"/>
    </row>
    <row r="69" spans="3:42">
      <c r="C69" s="318"/>
      <c r="D69" s="318"/>
      <c r="E69" s="321"/>
      <c r="F69" s="321"/>
      <c r="G69" s="321"/>
      <c r="H69" s="321"/>
      <c r="I69" s="321"/>
      <c r="J69" s="321"/>
      <c r="K69" s="321"/>
      <c r="L69" s="321"/>
      <c r="M69" s="321"/>
      <c r="N69" s="321"/>
      <c r="Q69" s="324"/>
      <c r="R69" s="324"/>
      <c r="S69" s="325" t="s">
        <v>86</v>
      </c>
      <c r="T69" s="325"/>
      <c r="U69" s="325"/>
      <c r="V69" s="325"/>
      <c r="W69" s="325" t="s">
        <v>87</v>
      </c>
      <c r="X69" s="325"/>
      <c r="Y69" s="325"/>
      <c r="Z69" s="325" t="s">
        <v>39</v>
      </c>
      <c r="AA69" s="325"/>
      <c r="AB69" s="325"/>
      <c r="AE69" s="322"/>
      <c r="AF69" s="322"/>
      <c r="AG69" s="323"/>
      <c r="AH69" s="323"/>
      <c r="AI69" s="323"/>
      <c r="AJ69" s="323"/>
      <c r="AK69" s="323"/>
      <c r="AL69" s="323"/>
      <c r="AM69" s="323"/>
      <c r="AN69" s="323"/>
      <c r="AO69" s="323"/>
      <c r="AP69" s="323"/>
    </row>
    <row r="70" spans="3:42">
      <c r="C70" s="318"/>
      <c r="D70" s="318"/>
      <c r="E70" s="321"/>
      <c r="F70" s="321"/>
      <c r="G70" s="321"/>
      <c r="H70" s="321"/>
      <c r="I70" s="321"/>
      <c r="J70" s="321"/>
      <c r="K70" s="321"/>
      <c r="L70" s="321"/>
      <c r="M70" s="321"/>
      <c r="N70" s="321"/>
      <c r="Q70" s="295" t="s">
        <v>40</v>
      </c>
      <c r="R70" s="295"/>
      <c r="S70" s="317"/>
      <c r="T70" s="317"/>
      <c r="U70" s="317"/>
      <c r="V70" s="317"/>
      <c r="W70" s="317"/>
      <c r="X70" s="317"/>
      <c r="Y70" s="317"/>
      <c r="Z70" s="317"/>
      <c r="AA70" s="317"/>
      <c r="AB70" s="317"/>
      <c r="AE70" s="318"/>
      <c r="AF70" s="318"/>
      <c r="AG70" s="321"/>
      <c r="AH70" s="321"/>
      <c r="AI70" s="321"/>
      <c r="AJ70" s="321"/>
      <c r="AK70" s="321"/>
      <c r="AL70" s="321"/>
      <c r="AM70" s="321"/>
      <c r="AN70" s="321"/>
      <c r="AO70" s="321"/>
      <c r="AP70" s="321"/>
    </row>
    <row r="71" spans="3:42">
      <c r="C71" s="318"/>
      <c r="D71" s="318"/>
      <c r="E71" s="321"/>
      <c r="F71" s="321"/>
      <c r="G71" s="321"/>
      <c r="H71" s="321"/>
      <c r="I71" s="321"/>
      <c r="J71" s="321"/>
      <c r="K71" s="321"/>
      <c r="L71" s="321"/>
      <c r="M71" s="321"/>
      <c r="N71" s="321"/>
      <c r="Q71" s="295" t="s">
        <v>41</v>
      </c>
      <c r="R71" s="295"/>
      <c r="S71" s="317"/>
      <c r="T71" s="317"/>
      <c r="U71" s="317"/>
      <c r="V71" s="317"/>
      <c r="W71" s="317"/>
      <c r="X71" s="317"/>
      <c r="Y71" s="317"/>
      <c r="Z71" s="317"/>
      <c r="AA71" s="317"/>
      <c r="AB71" s="317"/>
      <c r="AE71" s="318"/>
      <c r="AF71" s="318"/>
      <c r="AG71" s="321"/>
      <c r="AH71" s="321"/>
      <c r="AI71" s="321"/>
      <c r="AJ71" s="321"/>
      <c r="AK71" s="321"/>
      <c r="AL71" s="321"/>
      <c r="AM71" s="321"/>
      <c r="AN71" s="321"/>
      <c r="AO71" s="321"/>
      <c r="AP71" s="321"/>
    </row>
    <row r="72" spans="3:42">
      <c r="C72" s="318"/>
      <c r="D72" s="318"/>
      <c r="E72" s="319"/>
      <c r="F72" s="320"/>
      <c r="G72" s="320"/>
      <c r="H72" s="320"/>
      <c r="I72" s="321"/>
      <c r="J72" s="321"/>
      <c r="K72" s="321"/>
      <c r="L72" s="321"/>
      <c r="M72" s="321"/>
      <c r="N72" s="321"/>
      <c r="Q72" s="295" t="s">
        <v>42</v>
      </c>
      <c r="R72" s="295"/>
      <c r="S72" s="317"/>
      <c r="T72" s="317"/>
      <c r="U72" s="317"/>
      <c r="V72" s="317"/>
      <c r="W72" s="317"/>
      <c r="X72" s="317"/>
      <c r="Y72" s="317"/>
      <c r="Z72" s="317"/>
      <c r="AA72" s="317"/>
      <c r="AB72" s="317"/>
      <c r="AE72" s="318"/>
      <c r="AF72" s="318"/>
      <c r="AG72" s="321"/>
      <c r="AH72" s="321"/>
      <c r="AI72" s="321"/>
      <c r="AJ72" s="321"/>
      <c r="AK72" s="321"/>
      <c r="AL72" s="321"/>
      <c r="AM72" s="321"/>
      <c r="AN72" s="321"/>
      <c r="AO72" s="321"/>
      <c r="AP72" s="321"/>
    </row>
    <row r="73" spans="3:42">
      <c r="Q73" s="295" t="s">
        <v>43</v>
      </c>
      <c r="R73" s="295"/>
      <c r="S73" s="315"/>
      <c r="T73" s="316"/>
      <c r="U73" s="316"/>
      <c r="V73" s="316"/>
      <c r="W73" s="317"/>
      <c r="X73" s="317"/>
      <c r="Y73" s="317"/>
      <c r="Z73" s="317"/>
      <c r="AA73" s="317"/>
      <c r="AB73" s="317"/>
      <c r="AE73" s="318"/>
      <c r="AF73" s="318"/>
      <c r="AG73" s="319"/>
      <c r="AH73" s="320"/>
      <c r="AI73" s="320"/>
      <c r="AJ73" s="320"/>
      <c r="AK73" s="321"/>
      <c r="AL73" s="321"/>
      <c r="AM73" s="321"/>
      <c r="AN73" s="321"/>
      <c r="AO73" s="321"/>
      <c r="AP73" s="321"/>
    </row>
  </sheetData>
  <mergeCells count="168">
    <mergeCell ref="AK13:AP13"/>
    <mergeCell ref="J14:L14"/>
    <mergeCell ref="X14:Z14"/>
    <mergeCell ref="AL14:AN14"/>
    <mergeCell ref="V14:V15"/>
    <mergeCell ref="W14:W15"/>
    <mergeCell ref="AA14:AA15"/>
    <mergeCell ref="AB14:AB15"/>
    <mergeCell ref="AP14:AP15"/>
    <mergeCell ref="AK14:AK15"/>
    <mergeCell ref="AO14:AO15"/>
    <mergeCell ref="AE14:AE15"/>
    <mergeCell ref="AF14:AF15"/>
    <mergeCell ref="AG14:AG15"/>
    <mergeCell ref="AH14:AH15"/>
    <mergeCell ref="AI14:AI15"/>
    <mergeCell ref="AJ14:AJ15"/>
    <mergeCell ref="R13:V13"/>
    <mergeCell ref="W13:AB13"/>
    <mergeCell ref="AF13:AJ13"/>
    <mergeCell ref="C47:D47"/>
    <mergeCell ref="E47:H47"/>
    <mergeCell ref="I47:K47"/>
    <mergeCell ref="L47:N47"/>
    <mergeCell ref="C48:D48"/>
    <mergeCell ref="E48:H48"/>
    <mergeCell ref="I48:K48"/>
    <mergeCell ref="L48:N48"/>
    <mergeCell ref="C49:D49"/>
    <mergeCell ref="E49:H49"/>
    <mergeCell ref="I49:K49"/>
    <mergeCell ref="L49:N49"/>
    <mergeCell ref="C50:D50"/>
    <mergeCell ref="E50:H50"/>
    <mergeCell ref="I50:K50"/>
    <mergeCell ref="L50:N50"/>
    <mergeCell ref="C51:D51"/>
    <mergeCell ref="E51:H51"/>
    <mergeCell ref="I51:K51"/>
    <mergeCell ref="L51:N51"/>
    <mergeCell ref="AE54:AF54"/>
    <mergeCell ref="AG54:AJ54"/>
    <mergeCell ref="AK54:AM54"/>
    <mergeCell ref="AN54:AP54"/>
    <mergeCell ref="AE55:AF55"/>
    <mergeCell ref="AG55:AJ55"/>
    <mergeCell ref="AK55:AM55"/>
    <mergeCell ref="AN55:AP55"/>
    <mergeCell ref="AE56:AF56"/>
    <mergeCell ref="AG56:AJ56"/>
    <mergeCell ref="AK56:AM56"/>
    <mergeCell ref="AN56:AP56"/>
    <mergeCell ref="AE57:AF57"/>
    <mergeCell ref="AG57:AJ57"/>
    <mergeCell ref="AK57:AM57"/>
    <mergeCell ref="AN57:AP57"/>
    <mergeCell ref="AE58:AF58"/>
    <mergeCell ref="AG58:AJ58"/>
    <mergeCell ref="AK58:AM58"/>
    <mergeCell ref="AN58:AP58"/>
    <mergeCell ref="C68:D68"/>
    <mergeCell ref="E68:H68"/>
    <mergeCell ref="I68:K68"/>
    <mergeCell ref="L68:N68"/>
    <mergeCell ref="Q68:R68"/>
    <mergeCell ref="S68:V68"/>
    <mergeCell ref="W68:Y68"/>
    <mergeCell ref="Z68:AB68"/>
    <mergeCell ref="AE68:AF68"/>
    <mergeCell ref="AG68:AJ68"/>
    <mergeCell ref="AK68:AM68"/>
    <mergeCell ref="AN68:AP68"/>
    <mergeCell ref="AN69:AP69"/>
    <mergeCell ref="C70:D70"/>
    <mergeCell ref="E70:H70"/>
    <mergeCell ref="I70:K70"/>
    <mergeCell ref="L70:N70"/>
    <mergeCell ref="Q70:R70"/>
    <mergeCell ref="S70:V70"/>
    <mergeCell ref="W70:Y70"/>
    <mergeCell ref="Z70:AB70"/>
    <mergeCell ref="AE70:AF70"/>
    <mergeCell ref="AG70:AJ70"/>
    <mergeCell ref="AK70:AM70"/>
    <mergeCell ref="AN70:AP70"/>
    <mergeCell ref="C69:D69"/>
    <mergeCell ref="E69:H69"/>
    <mergeCell ref="I69:K69"/>
    <mergeCell ref="L69:N69"/>
    <mergeCell ref="Q69:R69"/>
    <mergeCell ref="S69:V69"/>
    <mergeCell ref="W69:Y69"/>
    <mergeCell ref="Z69:AB69"/>
    <mergeCell ref="AE69:AF69"/>
    <mergeCell ref="C71:D71"/>
    <mergeCell ref="E71:H71"/>
    <mergeCell ref="I71:K71"/>
    <mergeCell ref="L71:N71"/>
    <mergeCell ref="Q71:R71"/>
    <mergeCell ref="S71:V71"/>
    <mergeCell ref="W71:Y71"/>
    <mergeCell ref="Z71:AB71"/>
    <mergeCell ref="AE71:AF71"/>
    <mergeCell ref="C72:D72"/>
    <mergeCell ref="E72:H72"/>
    <mergeCell ref="I72:K72"/>
    <mergeCell ref="L72:N72"/>
    <mergeCell ref="Q72:R72"/>
    <mergeCell ref="S72:V72"/>
    <mergeCell ref="W72:Y72"/>
    <mergeCell ref="Z72:AB72"/>
    <mergeCell ref="AE72:AF72"/>
    <mergeCell ref="C2:C5"/>
    <mergeCell ref="C14:C15"/>
    <mergeCell ref="D14:D15"/>
    <mergeCell ref="E14:E15"/>
    <mergeCell ref="F14:F15"/>
    <mergeCell ref="G14:G15"/>
    <mergeCell ref="H14:H15"/>
    <mergeCell ref="I14:I15"/>
    <mergeCell ref="M14:M15"/>
    <mergeCell ref="D13:H13"/>
    <mergeCell ref="I13:N13"/>
    <mergeCell ref="C9:D9"/>
    <mergeCell ref="C10:N10"/>
    <mergeCell ref="C12:N12"/>
    <mergeCell ref="C6:D6"/>
    <mergeCell ref="C7:D7"/>
    <mergeCell ref="C8:D8"/>
    <mergeCell ref="D2:K5"/>
    <mergeCell ref="N14:N15"/>
    <mergeCell ref="Q73:R73"/>
    <mergeCell ref="S73:V73"/>
    <mergeCell ref="W73:Y73"/>
    <mergeCell ref="Z73:AB73"/>
    <mergeCell ref="AE73:AF73"/>
    <mergeCell ref="AG73:AJ73"/>
    <mergeCell ref="AK73:AM73"/>
    <mergeCell ref="AN73:AP73"/>
    <mergeCell ref="Q2:Q5"/>
    <mergeCell ref="Q14:Q15"/>
    <mergeCell ref="R14:R15"/>
    <mergeCell ref="S14:S15"/>
    <mergeCell ref="T14:T15"/>
    <mergeCell ref="U14:U15"/>
    <mergeCell ref="AG71:AJ71"/>
    <mergeCell ref="AK71:AM71"/>
    <mergeCell ref="AN71:AP71"/>
    <mergeCell ref="AG72:AJ72"/>
    <mergeCell ref="AK72:AM72"/>
    <mergeCell ref="AN72:AP72"/>
    <mergeCell ref="AG69:AJ69"/>
    <mergeCell ref="R2:Y5"/>
    <mergeCell ref="AE2:AE5"/>
    <mergeCell ref="AK69:AM69"/>
    <mergeCell ref="AE10:AP10"/>
    <mergeCell ref="Q12:AB12"/>
    <mergeCell ref="AE12:AP12"/>
    <mergeCell ref="Q6:R6"/>
    <mergeCell ref="AE6:AF6"/>
    <mergeCell ref="Q7:R7"/>
    <mergeCell ref="AE7:AF7"/>
    <mergeCell ref="Q8:R8"/>
    <mergeCell ref="AF2:AM5"/>
    <mergeCell ref="AE8:AF8"/>
    <mergeCell ref="Q9:R9"/>
    <mergeCell ref="AE9:AF9"/>
    <mergeCell ref="Q10:AB10"/>
  </mergeCells>
  <pageMargins left="0.25" right="0.25" top="0.75" bottom="0.75" header="0.3" footer="0.3"/>
  <pageSetup paperSize="9" scale="90" fitToHeight="0" orientation="portrait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AC268"/>
  <sheetViews>
    <sheetView zoomScale="70" zoomScaleNormal="70" workbookViewId="0">
      <selection activeCell="T278" sqref="T278"/>
    </sheetView>
  </sheetViews>
  <sheetFormatPr defaultColWidth="9" defaultRowHeight="15"/>
  <cols>
    <col min="9" max="9" width="24" customWidth="1"/>
    <col min="23" max="23" width="9.7109375" customWidth="1"/>
    <col min="24" max="24" width="27.28515625" customWidth="1"/>
  </cols>
  <sheetData>
    <row r="2" spans="3:29">
      <c r="C2" s="206"/>
      <c r="D2" s="211" t="s">
        <v>44</v>
      </c>
      <c r="E2" s="212"/>
      <c r="F2" s="212"/>
      <c r="G2" s="212"/>
      <c r="H2" s="212"/>
      <c r="I2" s="212"/>
      <c r="J2" s="212"/>
      <c r="K2" s="212"/>
      <c r="L2" s="20"/>
      <c r="M2" s="20"/>
      <c r="N2" s="21"/>
      <c r="R2" s="354"/>
      <c r="S2" s="215"/>
      <c r="T2" s="215"/>
      <c r="U2" s="215"/>
      <c r="V2" s="215"/>
      <c r="W2" s="215"/>
      <c r="X2" s="215"/>
      <c r="Y2" s="215"/>
      <c r="Z2" s="215"/>
    </row>
    <row r="3" spans="3:29">
      <c r="C3" s="207"/>
      <c r="D3" s="214"/>
      <c r="E3" s="215"/>
      <c r="F3" s="215"/>
      <c r="G3" s="215"/>
      <c r="H3" s="215"/>
      <c r="I3" s="215"/>
      <c r="J3" s="215"/>
      <c r="K3" s="215"/>
      <c r="N3" s="22"/>
      <c r="R3" s="354"/>
      <c r="S3" s="215"/>
      <c r="T3" s="215"/>
      <c r="U3" s="215"/>
      <c r="V3" s="215"/>
      <c r="W3" s="215"/>
      <c r="X3" s="215"/>
      <c r="Y3" s="215"/>
      <c r="Z3" s="215"/>
    </row>
    <row r="4" spans="3:29">
      <c r="C4" s="207"/>
      <c r="D4" s="214"/>
      <c r="E4" s="215"/>
      <c r="F4" s="215"/>
      <c r="G4" s="215"/>
      <c r="H4" s="215"/>
      <c r="I4" s="215"/>
      <c r="J4" s="215"/>
      <c r="K4" s="215"/>
      <c r="N4" s="22"/>
      <c r="R4" s="354"/>
      <c r="S4" s="215"/>
      <c r="T4" s="215"/>
      <c r="U4" s="215"/>
      <c r="V4" s="215"/>
      <c r="W4" s="215"/>
      <c r="X4" s="215"/>
      <c r="Y4" s="215"/>
      <c r="Z4" s="215"/>
    </row>
    <row r="5" spans="3:29">
      <c r="C5" s="207"/>
      <c r="D5" s="289"/>
      <c r="E5" s="290"/>
      <c r="F5" s="290"/>
      <c r="G5" s="290"/>
      <c r="H5" s="290"/>
      <c r="I5" s="290"/>
      <c r="J5" s="290"/>
      <c r="K5" s="290"/>
      <c r="N5" s="22"/>
      <c r="R5" s="354"/>
      <c r="S5" s="215"/>
      <c r="T5" s="215"/>
      <c r="U5" s="215"/>
      <c r="V5" s="215"/>
      <c r="W5" s="215"/>
      <c r="X5" s="215"/>
      <c r="Y5" s="215"/>
      <c r="Z5" s="215"/>
    </row>
    <row r="6" spans="3:29" ht="16.5">
      <c r="C6" s="223" t="s">
        <v>45</v>
      </c>
      <c r="D6" s="224"/>
      <c r="E6" s="7" t="s">
        <v>46</v>
      </c>
      <c r="F6" s="8"/>
      <c r="G6" s="8"/>
      <c r="H6" s="8"/>
      <c r="I6" s="8"/>
      <c r="J6" s="8"/>
      <c r="K6" s="8"/>
      <c r="L6" s="8"/>
      <c r="M6" s="8"/>
      <c r="N6" s="23"/>
      <c r="R6" s="366"/>
      <c r="S6" s="366"/>
      <c r="T6" s="48"/>
      <c r="U6" s="48"/>
      <c r="V6" s="48"/>
      <c r="W6" s="48"/>
      <c r="X6" s="48"/>
      <c r="Y6" s="48"/>
      <c r="Z6" s="48"/>
      <c r="AA6" s="48"/>
      <c r="AB6" s="48"/>
      <c r="AC6" s="48"/>
    </row>
    <row r="7" spans="3:29" ht="16.5">
      <c r="C7" s="223" t="s">
        <v>48</v>
      </c>
      <c r="D7" s="224"/>
      <c r="E7" s="7" t="s">
        <v>49</v>
      </c>
      <c r="F7" s="8"/>
      <c r="G7" s="8"/>
      <c r="H7" s="8"/>
      <c r="I7" s="8"/>
      <c r="J7" s="8"/>
      <c r="K7" s="8"/>
      <c r="L7" s="8"/>
      <c r="M7" s="8"/>
      <c r="N7" s="23"/>
      <c r="R7" s="366"/>
      <c r="S7" s="366"/>
      <c r="T7" s="48"/>
      <c r="U7" s="48"/>
      <c r="V7" s="48"/>
      <c r="W7" s="48"/>
      <c r="X7" s="48"/>
      <c r="Y7" s="48"/>
      <c r="Z7" s="48"/>
      <c r="AA7" s="48"/>
      <c r="AB7" s="48"/>
      <c r="AC7" s="48"/>
    </row>
    <row r="8" spans="3:29" ht="16.5">
      <c r="C8" s="225" t="s">
        <v>50</v>
      </c>
      <c r="D8" s="226"/>
      <c r="E8" s="7" t="s">
        <v>51</v>
      </c>
      <c r="F8" s="8"/>
      <c r="G8" s="8"/>
      <c r="H8" s="8"/>
      <c r="I8" s="8"/>
      <c r="J8" s="8"/>
      <c r="K8" s="8"/>
      <c r="L8" s="8"/>
      <c r="M8" s="8"/>
      <c r="N8" s="23"/>
      <c r="R8" s="366"/>
      <c r="S8" s="366"/>
      <c r="T8" s="48"/>
      <c r="U8" s="48"/>
      <c r="V8" s="48"/>
      <c r="W8" s="48"/>
      <c r="X8" s="48"/>
      <c r="Y8" s="48"/>
      <c r="Z8" s="48"/>
      <c r="AA8" s="48"/>
      <c r="AB8" s="48"/>
      <c r="AC8" s="48"/>
    </row>
    <row r="9" spans="3:29" ht="16.5">
      <c r="C9" s="223" t="s">
        <v>52</v>
      </c>
      <c r="D9" s="224"/>
      <c r="E9" s="7" t="s">
        <v>53</v>
      </c>
      <c r="F9" s="8"/>
      <c r="G9" s="8"/>
      <c r="H9" s="8"/>
      <c r="I9" s="8"/>
      <c r="J9" s="8"/>
      <c r="K9" s="8"/>
      <c r="L9" s="8"/>
      <c r="M9" s="8"/>
      <c r="N9" s="23"/>
      <c r="R9" s="366"/>
      <c r="S9" s="366"/>
      <c r="T9" s="48"/>
      <c r="U9" s="48"/>
      <c r="V9" s="48"/>
      <c r="W9" s="48"/>
      <c r="X9" s="48"/>
      <c r="Y9" s="48"/>
      <c r="Z9" s="48"/>
      <c r="AA9" s="48"/>
      <c r="AB9" s="48"/>
      <c r="AC9" s="48"/>
    </row>
    <row r="10" spans="3:29" ht="15.75">
      <c r="C10" s="227" t="s">
        <v>1032</v>
      </c>
      <c r="D10" s="228"/>
      <c r="E10" s="228"/>
      <c r="F10" s="228"/>
      <c r="G10" s="228"/>
      <c r="H10" s="228"/>
      <c r="I10" s="228"/>
      <c r="J10" s="228"/>
      <c r="K10" s="228"/>
      <c r="L10" s="228"/>
      <c r="M10" s="228"/>
      <c r="N10" s="229"/>
      <c r="R10" s="367"/>
      <c r="S10" s="367"/>
      <c r="T10" s="367"/>
      <c r="U10" s="367"/>
      <c r="V10" s="367"/>
      <c r="W10" s="367"/>
      <c r="X10" s="367"/>
      <c r="Y10" s="367"/>
      <c r="Z10" s="367"/>
      <c r="AA10" s="367"/>
      <c r="AB10" s="367"/>
      <c r="AC10" s="367"/>
    </row>
    <row r="11" spans="3:29" ht="15.75">
      <c r="C11" s="11" t="s">
        <v>55</v>
      </c>
      <c r="E11" s="12"/>
      <c r="F11" s="12"/>
      <c r="G11" s="12"/>
      <c r="H11" s="12"/>
      <c r="I11" s="24" t="s">
        <v>56</v>
      </c>
      <c r="J11" s="25"/>
      <c r="K11" s="12"/>
      <c r="L11" s="12"/>
      <c r="M11" s="12"/>
      <c r="N11" s="26"/>
      <c r="R11" s="49"/>
      <c r="T11" s="50"/>
      <c r="U11" s="50"/>
      <c r="V11" s="50"/>
      <c r="W11" s="50"/>
      <c r="X11" s="51"/>
      <c r="Y11" s="51"/>
      <c r="Z11" s="50"/>
      <c r="AA11" s="50"/>
      <c r="AB11" s="50"/>
      <c r="AC11" s="50"/>
    </row>
    <row r="12" spans="3:29">
      <c r="C12" s="217"/>
      <c r="D12" s="218"/>
      <c r="E12" s="218"/>
      <c r="F12" s="218"/>
      <c r="G12" s="218"/>
      <c r="H12" s="218"/>
      <c r="I12" s="218"/>
      <c r="J12" s="218"/>
      <c r="K12" s="218"/>
      <c r="L12" s="218"/>
      <c r="M12" s="218"/>
      <c r="N12" s="219"/>
      <c r="R12" s="362"/>
      <c r="S12" s="362"/>
      <c r="T12" s="362"/>
      <c r="U12" s="362"/>
      <c r="V12" s="362"/>
      <c r="W12" s="362"/>
      <c r="X12" s="362"/>
      <c r="Y12" s="362"/>
      <c r="Z12" s="362"/>
      <c r="AA12" s="362"/>
      <c r="AB12" s="362"/>
      <c r="AC12" s="362"/>
    </row>
    <row r="13" spans="3:29" ht="15.75">
      <c r="C13" s="15" t="s">
        <v>103</v>
      </c>
      <c r="D13" s="355"/>
      <c r="E13" s="356"/>
      <c r="F13" s="356"/>
      <c r="G13" s="356"/>
      <c r="H13" s="357"/>
      <c r="I13" s="368" t="s">
        <v>542</v>
      </c>
      <c r="J13" s="369"/>
      <c r="K13" s="369"/>
      <c r="L13" s="369"/>
      <c r="M13" s="369"/>
      <c r="N13" s="370"/>
      <c r="R13" s="52"/>
      <c r="S13" s="363"/>
      <c r="T13" s="363"/>
      <c r="U13" s="363"/>
      <c r="V13" s="363"/>
      <c r="W13" s="363"/>
      <c r="X13" s="364"/>
      <c r="Y13" s="364"/>
      <c r="Z13" s="364"/>
      <c r="AA13" s="364"/>
      <c r="AB13" s="364"/>
      <c r="AC13" s="364"/>
    </row>
    <row r="14" spans="3:29">
      <c r="C14" s="329" t="s">
        <v>59</v>
      </c>
      <c r="D14" s="209" t="s">
        <v>60</v>
      </c>
      <c r="E14" s="209" t="s">
        <v>659</v>
      </c>
      <c r="F14" s="209" t="s">
        <v>62</v>
      </c>
      <c r="G14" s="209" t="s">
        <v>63</v>
      </c>
      <c r="H14" s="209" t="s">
        <v>64</v>
      </c>
      <c r="I14" s="209" t="s">
        <v>65</v>
      </c>
      <c r="J14" s="342" t="s">
        <v>66</v>
      </c>
      <c r="K14" s="343"/>
      <c r="L14" s="344"/>
      <c r="M14" s="209" t="s">
        <v>30</v>
      </c>
      <c r="N14" s="328" t="s">
        <v>67</v>
      </c>
      <c r="R14" s="361"/>
      <c r="S14" s="361"/>
      <c r="T14" s="361"/>
      <c r="U14" s="361"/>
      <c r="V14" s="361"/>
      <c r="W14" s="361"/>
      <c r="X14" s="361"/>
      <c r="Y14" s="365"/>
      <c r="Z14" s="365"/>
      <c r="AA14" s="365"/>
      <c r="AB14" s="361"/>
      <c r="AC14" s="361"/>
    </row>
    <row r="15" spans="3:29" ht="60">
      <c r="C15" s="359"/>
      <c r="D15" s="292"/>
      <c r="E15" s="292"/>
      <c r="F15" s="292"/>
      <c r="G15" s="292"/>
      <c r="H15" s="292"/>
      <c r="I15" s="292"/>
      <c r="J15" s="17" t="s">
        <v>68</v>
      </c>
      <c r="K15" s="28" t="s">
        <v>69</v>
      </c>
      <c r="L15" s="17" t="s">
        <v>70</v>
      </c>
      <c r="M15" s="292"/>
      <c r="N15" s="360"/>
      <c r="R15" s="361"/>
      <c r="S15" s="361"/>
      <c r="T15" s="361"/>
      <c r="U15" s="361"/>
      <c r="V15" s="361"/>
      <c r="W15" s="361"/>
      <c r="X15" s="361"/>
      <c r="Y15" s="53"/>
      <c r="Z15" s="54"/>
      <c r="AA15" s="53"/>
      <c r="AB15" s="361"/>
      <c r="AC15" s="361"/>
    </row>
    <row r="16" spans="3:29">
      <c r="C16" s="29">
        <v>1</v>
      </c>
      <c r="D16" s="29" t="s">
        <v>71</v>
      </c>
      <c r="E16" s="29">
        <v>160</v>
      </c>
      <c r="F16" s="29" t="s">
        <v>1033</v>
      </c>
      <c r="G16" s="29" t="s">
        <v>1034</v>
      </c>
      <c r="H16" s="29">
        <v>113.7</v>
      </c>
      <c r="I16" s="29" t="s">
        <v>106</v>
      </c>
      <c r="J16" s="29">
        <v>3.1</v>
      </c>
      <c r="K16" s="29">
        <v>1</v>
      </c>
      <c r="L16" s="29">
        <v>4.0999999999999996</v>
      </c>
      <c r="M16" s="29"/>
      <c r="N16" s="29"/>
      <c r="R16" s="46"/>
      <c r="S16" s="46"/>
      <c r="T16" s="46"/>
      <c r="U16" s="46"/>
      <c r="V16" s="46"/>
      <c r="W16" s="46"/>
      <c r="X16" s="46"/>
      <c r="Y16" s="46"/>
      <c r="Z16" s="46"/>
      <c r="AA16" s="46"/>
      <c r="AB16" s="46"/>
      <c r="AC16" s="46"/>
    </row>
    <row r="17" spans="3:29">
      <c r="C17" s="29">
        <f>1+C16</f>
        <v>2</v>
      </c>
      <c r="D17" s="29" t="s">
        <v>71</v>
      </c>
      <c r="E17" s="29">
        <v>160</v>
      </c>
      <c r="F17" s="29" t="s">
        <v>1033</v>
      </c>
      <c r="G17" s="29" t="s">
        <v>1034</v>
      </c>
      <c r="H17" s="29">
        <v>6.9</v>
      </c>
      <c r="I17" s="29" t="s">
        <v>106</v>
      </c>
      <c r="J17" s="29">
        <v>3.1</v>
      </c>
      <c r="K17" s="29">
        <v>1</v>
      </c>
      <c r="L17" s="29">
        <v>4.0999999999999996</v>
      </c>
      <c r="M17" s="29"/>
      <c r="N17" s="29"/>
      <c r="R17" s="46"/>
      <c r="S17" s="46"/>
      <c r="T17" s="46"/>
      <c r="U17" s="46"/>
      <c r="V17" s="46"/>
      <c r="W17" s="46"/>
      <c r="X17" s="46"/>
      <c r="Y17" s="46"/>
      <c r="Z17" s="46"/>
      <c r="AA17" s="46"/>
      <c r="AB17" s="46"/>
      <c r="AC17" s="46"/>
    </row>
    <row r="18" spans="3:29">
      <c r="C18" s="29">
        <f t="shared" ref="C18:C34" si="0">1+C17</f>
        <v>3</v>
      </c>
      <c r="D18" s="29" t="s">
        <v>71</v>
      </c>
      <c r="E18" s="29">
        <v>160</v>
      </c>
      <c r="F18" s="29" t="s">
        <v>1034</v>
      </c>
      <c r="G18" s="29" t="s">
        <v>1035</v>
      </c>
      <c r="H18" s="29">
        <v>19.100000000000001</v>
      </c>
      <c r="I18" s="29" t="s">
        <v>106</v>
      </c>
      <c r="J18" s="29">
        <v>3.1</v>
      </c>
      <c r="K18" s="29">
        <v>1</v>
      </c>
      <c r="L18" s="29">
        <v>4.0999999999999996</v>
      </c>
      <c r="M18" s="29"/>
      <c r="N18" s="29"/>
      <c r="R18" s="46"/>
      <c r="S18" s="46"/>
      <c r="T18" s="46"/>
      <c r="U18" s="46"/>
      <c r="V18" s="46"/>
      <c r="W18" s="46"/>
      <c r="X18" s="46"/>
      <c r="Y18" s="46"/>
      <c r="Z18" s="46"/>
      <c r="AA18" s="46"/>
      <c r="AB18" s="46"/>
      <c r="AC18" s="46"/>
    </row>
    <row r="19" spans="3:29">
      <c r="C19" s="29">
        <f t="shared" si="0"/>
        <v>4</v>
      </c>
      <c r="D19" s="29" t="s">
        <v>71</v>
      </c>
      <c r="E19" s="29">
        <v>160</v>
      </c>
      <c r="F19" s="29" t="s">
        <v>93</v>
      </c>
      <c r="G19" s="29">
        <v>659</v>
      </c>
      <c r="H19" s="29">
        <v>350.2</v>
      </c>
      <c r="I19" s="29" t="s">
        <v>106</v>
      </c>
      <c r="J19" s="29">
        <v>3.1</v>
      </c>
      <c r="K19" s="29">
        <v>1</v>
      </c>
      <c r="L19" s="29">
        <v>4.0999999999999996</v>
      </c>
      <c r="M19" s="29"/>
      <c r="N19" s="29"/>
      <c r="R19" s="46"/>
      <c r="S19" s="46"/>
      <c r="T19" s="46"/>
      <c r="U19" s="46"/>
      <c r="V19" s="46"/>
      <c r="W19" s="46"/>
      <c r="X19" s="46"/>
      <c r="Y19" s="46"/>
      <c r="Z19" s="46"/>
      <c r="AA19" s="46"/>
      <c r="AB19" s="46"/>
      <c r="AC19" s="46"/>
    </row>
    <row r="20" spans="3:29">
      <c r="C20" s="29">
        <f t="shared" si="0"/>
        <v>5</v>
      </c>
      <c r="D20" s="29" t="s">
        <v>71</v>
      </c>
      <c r="E20" s="29">
        <v>160</v>
      </c>
      <c r="F20" s="29" t="s">
        <v>93</v>
      </c>
      <c r="G20" s="29" t="s">
        <v>611</v>
      </c>
      <c r="H20" s="29">
        <v>7.3</v>
      </c>
      <c r="I20" s="29" t="s">
        <v>106</v>
      </c>
      <c r="J20" s="29">
        <v>3.1</v>
      </c>
      <c r="K20" s="29">
        <v>1</v>
      </c>
      <c r="L20" s="29">
        <v>4.0999999999999996</v>
      </c>
      <c r="M20" s="29"/>
      <c r="N20" s="29"/>
      <c r="R20" s="46"/>
      <c r="S20" s="46"/>
      <c r="T20" s="46"/>
      <c r="U20" s="46"/>
      <c r="V20" s="46"/>
      <c r="W20" s="46"/>
      <c r="X20" s="46"/>
      <c r="Y20" s="46"/>
      <c r="Z20" s="46"/>
      <c r="AA20" s="46"/>
      <c r="AB20" s="46"/>
      <c r="AC20" s="46"/>
    </row>
    <row r="21" spans="3:29">
      <c r="C21" s="29">
        <f t="shared" si="0"/>
        <v>6</v>
      </c>
      <c r="D21" s="29" t="s">
        <v>71</v>
      </c>
      <c r="E21" s="29">
        <v>160</v>
      </c>
      <c r="F21" s="29" t="s">
        <v>93</v>
      </c>
      <c r="G21" s="29" t="s">
        <v>611</v>
      </c>
      <c r="H21" s="29">
        <v>3.3</v>
      </c>
      <c r="I21" s="29" t="s">
        <v>106</v>
      </c>
      <c r="J21" s="29">
        <v>3.1</v>
      </c>
      <c r="K21" s="29">
        <v>1</v>
      </c>
      <c r="L21" s="29">
        <v>4.0999999999999996</v>
      </c>
      <c r="M21" s="29"/>
      <c r="N21" s="29"/>
      <c r="R21" s="46"/>
      <c r="S21" s="46"/>
      <c r="T21" s="46"/>
      <c r="U21" s="46"/>
      <c r="V21" s="46"/>
      <c r="W21" s="46"/>
      <c r="X21" s="46"/>
      <c r="Y21" s="46"/>
      <c r="Z21" s="46"/>
      <c r="AA21" s="46"/>
      <c r="AB21" s="46"/>
      <c r="AC21" s="46"/>
    </row>
    <row r="22" spans="3:29">
      <c r="C22" s="29">
        <f t="shared" si="0"/>
        <v>7</v>
      </c>
      <c r="D22" s="29" t="s">
        <v>71</v>
      </c>
      <c r="E22" s="29">
        <v>160</v>
      </c>
      <c r="F22" s="29" t="s">
        <v>93</v>
      </c>
      <c r="G22" s="29" t="s">
        <v>611</v>
      </c>
      <c r="H22" s="29">
        <v>3.2</v>
      </c>
      <c r="I22" s="29" t="s">
        <v>106</v>
      </c>
      <c r="J22" s="29">
        <v>3.1</v>
      </c>
      <c r="K22" s="29">
        <v>1</v>
      </c>
      <c r="L22" s="29">
        <v>4.0999999999999996</v>
      </c>
      <c r="M22" s="29"/>
      <c r="N22" s="29"/>
      <c r="R22" s="46"/>
      <c r="S22" s="46"/>
      <c r="T22" s="46"/>
      <c r="U22" s="46"/>
      <c r="V22" s="46"/>
      <c r="W22" s="46"/>
      <c r="X22" s="46"/>
      <c r="Y22" s="46"/>
      <c r="Z22" s="46"/>
      <c r="AA22" s="46"/>
      <c r="AB22" s="46"/>
      <c r="AC22" s="46"/>
    </row>
    <row r="23" spans="3:29">
      <c r="C23" s="29">
        <f t="shared" si="0"/>
        <v>8</v>
      </c>
      <c r="D23" s="29" t="s">
        <v>71</v>
      </c>
      <c r="E23" s="29">
        <v>160</v>
      </c>
      <c r="F23" s="29" t="s">
        <v>849</v>
      </c>
      <c r="G23" s="29" t="s">
        <v>1036</v>
      </c>
      <c r="H23" s="29">
        <v>263.2</v>
      </c>
      <c r="I23" s="29" t="s">
        <v>106</v>
      </c>
      <c r="J23" s="29">
        <v>3.1</v>
      </c>
      <c r="K23" s="29">
        <v>1</v>
      </c>
      <c r="L23" s="29">
        <v>4.0999999999999996</v>
      </c>
      <c r="M23" s="29"/>
      <c r="N23" s="29"/>
      <c r="R23" s="46"/>
      <c r="S23" s="46"/>
      <c r="T23" s="46"/>
      <c r="U23" s="46"/>
      <c r="V23" s="46"/>
      <c r="W23" s="46"/>
      <c r="X23" s="46"/>
      <c r="Y23" s="46"/>
      <c r="Z23" s="46"/>
      <c r="AA23" s="46"/>
      <c r="AB23" s="46"/>
      <c r="AC23" s="46"/>
    </row>
    <row r="24" spans="3:29">
      <c r="C24" s="29">
        <f t="shared" si="0"/>
        <v>9</v>
      </c>
      <c r="D24" s="29" t="s">
        <v>71</v>
      </c>
      <c r="E24" s="29">
        <v>160</v>
      </c>
      <c r="F24" s="29" t="s">
        <v>1036</v>
      </c>
      <c r="G24" s="29" t="s">
        <v>1037</v>
      </c>
      <c r="H24" s="29">
        <v>640</v>
      </c>
      <c r="I24" s="29" t="s">
        <v>106</v>
      </c>
      <c r="J24" s="29">
        <v>3.1</v>
      </c>
      <c r="K24" s="29">
        <v>1</v>
      </c>
      <c r="L24" s="29">
        <v>4.0999999999999996</v>
      </c>
      <c r="M24" s="29"/>
      <c r="N24" s="29"/>
      <c r="R24" s="46"/>
      <c r="S24" s="46"/>
      <c r="T24" s="46"/>
      <c r="U24" s="46"/>
      <c r="V24" s="46"/>
      <c r="W24" s="46"/>
      <c r="X24" s="46"/>
      <c r="Y24" s="46"/>
      <c r="Z24" s="46"/>
      <c r="AA24" s="46"/>
      <c r="AB24" s="46"/>
      <c r="AC24" s="46"/>
    </row>
    <row r="25" spans="3:29">
      <c r="C25" s="29">
        <f t="shared" si="0"/>
        <v>10</v>
      </c>
      <c r="D25" s="29" t="s">
        <v>71</v>
      </c>
      <c r="E25" s="29">
        <v>160</v>
      </c>
      <c r="F25" s="29" t="s">
        <v>1038</v>
      </c>
      <c r="G25" s="29" t="s">
        <v>671</v>
      </c>
      <c r="H25" s="29">
        <v>639.4</v>
      </c>
      <c r="I25" s="29" t="s">
        <v>106</v>
      </c>
      <c r="J25" s="29">
        <v>3.1</v>
      </c>
      <c r="K25" s="29">
        <v>1</v>
      </c>
      <c r="L25" s="29">
        <v>4.0999999999999996</v>
      </c>
      <c r="M25" s="29"/>
      <c r="N25" s="29"/>
      <c r="R25" s="46"/>
      <c r="S25" s="46"/>
      <c r="T25" s="46"/>
      <c r="U25" s="46"/>
      <c r="V25" s="46"/>
      <c r="W25" s="46"/>
      <c r="X25" s="46"/>
      <c r="Y25" s="46"/>
      <c r="Z25" s="46"/>
      <c r="AA25" s="46"/>
      <c r="AB25" s="46"/>
      <c r="AC25" s="46"/>
    </row>
    <row r="26" spans="3:29">
      <c r="C26" s="29">
        <f t="shared" si="0"/>
        <v>11</v>
      </c>
      <c r="D26" s="29" t="s">
        <v>71</v>
      </c>
      <c r="E26" s="29">
        <v>160</v>
      </c>
      <c r="F26" s="29" t="s">
        <v>611</v>
      </c>
      <c r="G26" s="29" t="s">
        <v>92</v>
      </c>
      <c r="H26" s="29">
        <v>669.7</v>
      </c>
      <c r="I26" s="29" t="s">
        <v>106</v>
      </c>
      <c r="J26" s="29">
        <v>3.1</v>
      </c>
      <c r="K26" s="29">
        <v>1</v>
      </c>
      <c r="L26" s="29">
        <v>4.0999999999999996</v>
      </c>
      <c r="M26" s="29"/>
      <c r="N26" s="29"/>
      <c r="R26" s="46"/>
      <c r="S26" s="46"/>
      <c r="T26" s="46"/>
      <c r="U26" s="46"/>
      <c r="V26" s="46"/>
      <c r="W26" s="46"/>
      <c r="X26" s="46"/>
      <c r="Y26" s="46"/>
      <c r="Z26" s="46"/>
      <c r="AA26" s="46"/>
      <c r="AB26" s="46"/>
      <c r="AC26" s="46"/>
    </row>
    <row r="27" spans="3:29">
      <c r="C27" s="29">
        <f t="shared" si="0"/>
        <v>12</v>
      </c>
      <c r="D27" s="29" t="s">
        <v>71</v>
      </c>
      <c r="E27" s="29">
        <v>110</v>
      </c>
      <c r="F27" s="29" t="s">
        <v>1039</v>
      </c>
      <c r="G27" s="29" t="s">
        <v>1033</v>
      </c>
      <c r="H27" s="29">
        <v>268.7</v>
      </c>
      <c r="I27" s="29" t="s">
        <v>106</v>
      </c>
      <c r="J27" s="29">
        <v>3.1</v>
      </c>
      <c r="K27" s="29">
        <v>1</v>
      </c>
      <c r="L27" s="29">
        <v>4.0999999999999996</v>
      </c>
      <c r="M27" s="29"/>
      <c r="N27" s="29"/>
      <c r="R27" s="46"/>
      <c r="S27" s="46"/>
      <c r="T27" s="46"/>
      <c r="U27" s="46"/>
      <c r="V27" s="46"/>
      <c r="W27" s="46"/>
      <c r="X27" s="46"/>
      <c r="Y27" s="46"/>
      <c r="Z27" s="46"/>
      <c r="AA27" s="46"/>
      <c r="AB27" s="46"/>
      <c r="AC27" s="46"/>
    </row>
    <row r="28" spans="3:29">
      <c r="C28" s="29">
        <f t="shared" si="0"/>
        <v>13</v>
      </c>
      <c r="D28" s="29" t="s">
        <v>71</v>
      </c>
      <c r="E28" s="29">
        <v>110</v>
      </c>
      <c r="F28" s="29" t="s">
        <v>1039</v>
      </c>
      <c r="G28" s="29" t="s">
        <v>1033</v>
      </c>
      <c r="H28" s="29">
        <v>6</v>
      </c>
      <c r="I28" s="29" t="s">
        <v>106</v>
      </c>
      <c r="J28" s="29">
        <v>3.1</v>
      </c>
      <c r="K28" s="29">
        <v>1</v>
      </c>
      <c r="L28" s="29">
        <v>4.0999999999999996</v>
      </c>
      <c r="M28" s="29"/>
      <c r="N28" s="29"/>
      <c r="R28" s="46"/>
      <c r="S28" s="46"/>
      <c r="T28" s="46"/>
      <c r="U28" s="46"/>
      <c r="V28" s="46"/>
      <c r="W28" s="46"/>
      <c r="X28" s="46"/>
      <c r="Y28" s="46"/>
      <c r="Z28" s="46"/>
      <c r="AA28" s="46"/>
      <c r="AB28" s="46"/>
      <c r="AC28" s="46"/>
    </row>
    <row r="29" spans="3:29">
      <c r="C29" s="29">
        <f t="shared" si="0"/>
        <v>14</v>
      </c>
      <c r="D29" s="29" t="s">
        <v>71</v>
      </c>
      <c r="E29" s="29">
        <v>90</v>
      </c>
      <c r="F29" s="29" t="s">
        <v>409</v>
      </c>
      <c r="G29" s="29" t="s">
        <v>1040</v>
      </c>
      <c r="H29" s="29">
        <v>132.6</v>
      </c>
      <c r="I29" s="29" t="s">
        <v>106</v>
      </c>
      <c r="J29" s="29">
        <v>3.1</v>
      </c>
      <c r="K29" s="29">
        <v>1</v>
      </c>
      <c r="L29" s="29">
        <v>4.0999999999999996</v>
      </c>
      <c r="M29" s="29"/>
      <c r="N29" s="29"/>
      <c r="R29" s="46"/>
      <c r="S29" s="46"/>
      <c r="T29" s="46"/>
      <c r="U29" s="46"/>
      <c r="V29" s="46"/>
      <c r="W29" s="46"/>
      <c r="X29" s="46"/>
      <c r="Y29" s="46"/>
      <c r="Z29" s="46"/>
      <c r="AA29" s="46"/>
      <c r="AB29" s="46"/>
      <c r="AC29" s="46"/>
    </row>
    <row r="30" spans="3:29">
      <c r="C30" s="29">
        <f t="shared" si="0"/>
        <v>15</v>
      </c>
      <c r="D30" s="29" t="s">
        <v>71</v>
      </c>
      <c r="E30" s="29">
        <v>90</v>
      </c>
      <c r="F30" s="29" t="s">
        <v>1040</v>
      </c>
      <c r="G30" s="29" t="s">
        <v>1041</v>
      </c>
      <c r="H30" s="29">
        <v>94.3</v>
      </c>
      <c r="I30" s="29" t="s">
        <v>106</v>
      </c>
      <c r="J30" s="29">
        <v>3.1</v>
      </c>
      <c r="K30" s="29">
        <v>1</v>
      </c>
      <c r="L30" s="29">
        <v>4.0999999999999996</v>
      </c>
      <c r="M30" s="29"/>
      <c r="N30" s="29"/>
      <c r="R30" s="46"/>
      <c r="S30" s="46"/>
      <c r="T30" s="46"/>
      <c r="U30" s="46"/>
      <c r="V30" s="46"/>
      <c r="W30" s="46"/>
      <c r="X30" s="46"/>
      <c r="Y30" s="46"/>
      <c r="Z30" s="46"/>
      <c r="AA30" s="46"/>
      <c r="AB30" s="46"/>
      <c r="AC30" s="46"/>
    </row>
    <row r="31" spans="3:29">
      <c r="C31" s="29">
        <f t="shared" si="0"/>
        <v>16</v>
      </c>
      <c r="D31" s="29" t="s">
        <v>71</v>
      </c>
      <c r="E31" s="29">
        <v>90</v>
      </c>
      <c r="F31" s="29" t="s">
        <v>1042</v>
      </c>
      <c r="G31" s="29" t="s">
        <v>1043</v>
      </c>
      <c r="H31" s="29">
        <v>35.1</v>
      </c>
      <c r="I31" s="29" t="s">
        <v>106</v>
      </c>
      <c r="J31" s="29">
        <v>3.1</v>
      </c>
      <c r="K31" s="29">
        <v>1</v>
      </c>
      <c r="L31" s="29">
        <v>4.0999999999999996</v>
      </c>
      <c r="M31" s="29"/>
      <c r="N31" s="29"/>
      <c r="R31" s="46"/>
      <c r="S31" s="46"/>
      <c r="T31" s="46"/>
      <c r="U31" s="46"/>
      <c r="V31" s="46"/>
      <c r="W31" s="46"/>
      <c r="X31" s="46"/>
      <c r="Y31" s="46"/>
      <c r="Z31" s="46"/>
      <c r="AA31" s="46"/>
      <c r="AB31" s="46"/>
      <c r="AC31" s="46"/>
    </row>
    <row r="32" spans="3:29">
      <c r="C32" s="29">
        <f t="shared" si="0"/>
        <v>17</v>
      </c>
      <c r="D32" s="29" t="s">
        <v>71</v>
      </c>
      <c r="E32" s="29">
        <v>90</v>
      </c>
      <c r="F32" s="29" t="s">
        <v>1043</v>
      </c>
      <c r="G32" s="29" t="s">
        <v>1044</v>
      </c>
      <c r="H32" s="29">
        <v>34.9</v>
      </c>
      <c r="I32" s="29" t="s">
        <v>106</v>
      </c>
      <c r="J32" s="29">
        <v>3.1</v>
      </c>
      <c r="K32" s="29">
        <v>1</v>
      </c>
      <c r="L32" s="29">
        <v>4.0999999999999996</v>
      </c>
      <c r="M32" s="29"/>
      <c r="N32" s="29"/>
      <c r="R32" s="46"/>
      <c r="S32" s="46"/>
      <c r="T32" s="46"/>
      <c r="U32" s="46"/>
      <c r="V32" s="46"/>
      <c r="W32" s="46"/>
      <c r="X32" s="46"/>
      <c r="Y32" s="46"/>
      <c r="Z32" s="46"/>
      <c r="AA32" s="46"/>
      <c r="AB32" s="46"/>
      <c r="AC32" s="46"/>
    </row>
    <row r="33" spans="3:29">
      <c r="C33" s="29">
        <f t="shared" si="0"/>
        <v>18</v>
      </c>
      <c r="D33" s="29" t="s">
        <v>71</v>
      </c>
      <c r="E33" s="29">
        <v>90</v>
      </c>
      <c r="F33" s="29" t="s">
        <v>1044</v>
      </c>
      <c r="G33" s="29" t="s">
        <v>1045</v>
      </c>
      <c r="H33" s="29">
        <v>104.8</v>
      </c>
      <c r="I33" s="29" t="s">
        <v>106</v>
      </c>
      <c r="J33" s="29">
        <v>3.1</v>
      </c>
      <c r="K33" s="29">
        <v>1</v>
      </c>
      <c r="L33" s="29">
        <v>4.0999999999999996</v>
      </c>
      <c r="M33" s="29"/>
      <c r="N33" s="29"/>
      <c r="R33" s="46"/>
      <c r="S33" s="46"/>
      <c r="T33" s="46"/>
      <c r="U33" s="46"/>
      <c r="V33" s="46"/>
      <c r="W33" s="46"/>
      <c r="X33" s="46"/>
      <c r="Y33" s="46"/>
      <c r="Z33" s="46"/>
      <c r="AA33" s="46"/>
      <c r="AB33" s="46"/>
      <c r="AC33" s="46"/>
    </row>
    <row r="34" spans="3:29">
      <c r="C34" s="29">
        <f t="shared" si="0"/>
        <v>19</v>
      </c>
      <c r="D34" s="29" t="s">
        <v>71</v>
      </c>
      <c r="E34" s="29">
        <v>90</v>
      </c>
      <c r="F34" s="29" t="s">
        <v>1042</v>
      </c>
      <c r="G34" s="29" t="s">
        <v>1046</v>
      </c>
      <c r="H34" s="29">
        <v>154.9</v>
      </c>
      <c r="I34" s="29" t="s">
        <v>106</v>
      </c>
      <c r="J34" s="29">
        <v>3.1</v>
      </c>
      <c r="K34" s="29">
        <v>1</v>
      </c>
      <c r="L34" s="29">
        <v>4.0999999999999996</v>
      </c>
      <c r="M34" s="29"/>
      <c r="N34" s="29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6"/>
    </row>
    <row r="35" spans="3:29"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R35" s="46"/>
      <c r="S35" s="46"/>
      <c r="T35" s="46"/>
      <c r="U35" s="46"/>
      <c r="V35" s="46"/>
      <c r="W35" s="46"/>
      <c r="X35" s="46"/>
      <c r="Y35" s="46"/>
      <c r="Z35" s="46"/>
      <c r="AA35" s="46"/>
      <c r="AB35" s="46"/>
      <c r="AC35" s="46"/>
    </row>
    <row r="36" spans="3:29">
      <c r="C36" s="324"/>
      <c r="D36" s="324"/>
      <c r="E36" s="325" t="s">
        <v>86</v>
      </c>
      <c r="F36" s="325"/>
      <c r="G36" s="325"/>
      <c r="H36" s="325"/>
      <c r="I36" s="325" t="s">
        <v>87</v>
      </c>
      <c r="J36" s="325"/>
      <c r="K36" s="325"/>
      <c r="L36" s="325" t="s">
        <v>39</v>
      </c>
      <c r="M36" s="325"/>
      <c r="N36" s="325"/>
      <c r="R36" s="46"/>
      <c r="S36" s="46"/>
      <c r="T36" s="46"/>
      <c r="U36" s="46"/>
      <c r="V36" s="46"/>
      <c r="W36" s="46"/>
      <c r="X36" s="46"/>
      <c r="Y36" s="46"/>
      <c r="Z36" s="46"/>
      <c r="AA36" s="46"/>
      <c r="AB36" s="46"/>
      <c r="AC36" s="46"/>
    </row>
    <row r="37" spans="3:29">
      <c r="C37" s="295" t="s">
        <v>40</v>
      </c>
      <c r="D37" s="295"/>
      <c r="E37" s="317"/>
      <c r="F37" s="317"/>
      <c r="G37" s="317"/>
      <c r="H37" s="317"/>
      <c r="I37" s="317"/>
      <c r="J37" s="317"/>
      <c r="K37" s="317"/>
      <c r="L37" s="317"/>
      <c r="M37" s="317"/>
      <c r="N37" s="317"/>
      <c r="R37" s="46"/>
      <c r="S37" s="46"/>
      <c r="T37" s="46"/>
      <c r="U37" s="46"/>
      <c r="V37" s="46"/>
      <c r="W37" s="46"/>
      <c r="X37" s="46"/>
      <c r="Y37" s="46"/>
      <c r="Z37" s="46"/>
      <c r="AA37" s="46"/>
      <c r="AB37" s="46"/>
      <c r="AC37" s="46"/>
    </row>
    <row r="38" spans="3:29">
      <c r="C38" s="295" t="s">
        <v>41</v>
      </c>
      <c r="D38" s="295"/>
      <c r="E38" s="317"/>
      <c r="F38" s="317"/>
      <c r="G38" s="317"/>
      <c r="H38" s="317"/>
      <c r="I38" s="317"/>
      <c r="J38" s="317"/>
      <c r="K38" s="317"/>
      <c r="L38" s="317"/>
      <c r="M38" s="317"/>
      <c r="N38" s="317"/>
      <c r="R38" s="46"/>
      <c r="S38" s="46"/>
      <c r="T38" s="46"/>
      <c r="U38" s="46"/>
      <c r="V38" s="46"/>
      <c r="W38" s="46"/>
      <c r="X38" s="46"/>
      <c r="Y38" s="46"/>
      <c r="Z38" s="46"/>
      <c r="AA38" s="46"/>
      <c r="AB38" s="46"/>
      <c r="AC38" s="46"/>
    </row>
    <row r="39" spans="3:29">
      <c r="C39" s="295" t="s">
        <v>42</v>
      </c>
      <c r="D39" s="295"/>
      <c r="E39" s="317"/>
      <c r="F39" s="317"/>
      <c r="G39" s="317"/>
      <c r="H39" s="317"/>
      <c r="I39" s="317"/>
      <c r="J39" s="317"/>
      <c r="K39" s="317"/>
      <c r="L39" s="317"/>
      <c r="M39" s="317"/>
      <c r="N39" s="317"/>
      <c r="R39" s="46"/>
      <c r="S39" s="46"/>
      <c r="T39" s="46"/>
      <c r="U39" s="46"/>
      <c r="V39" s="46"/>
      <c r="W39" s="46"/>
      <c r="X39" s="46"/>
      <c r="Y39" s="46"/>
      <c r="Z39" s="46"/>
      <c r="AA39" s="46"/>
      <c r="AB39" s="46"/>
      <c r="AC39" s="46"/>
    </row>
    <row r="40" spans="3:29">
      <c r="C40" s="295" t="s">
        <v>43</v>
      </c>
      <c r="D40" s="295"/>
      <c r="E40" s="315"/>
      <c r="F40" s="316"/>
      <c r="G40" s="316"/>
      <c r="H40" s="316"/>
      <c r="I40" s="317"/>
      <c r="J40" s="317"/>
      <c r="K40" s="317"/>
      <c r="L40" s="317"/>
      <c r="M40" s="317"/>
      <c r="N40" s="317"/>
      <c r="R40" s="46"/>
      <c r="S40" s="46"/>
      <c r="T40" s="46"/>
      <c r="U40" s="46"/>
      <c r="V40" s="46"/>
      <c r="W40" s="46"/>
      <c r="X40" s="46"/>
      <c r="Y40" s="46"/>
      <c r="Z40" s="46"/>
      <c r="AA40" s="46"/>
      <c r="AB40" s="46"/>
      <c r="AC40" s="46"/>
    </row>
    <row r="41" spans="3:29">
      <c r="C41" s="46"/>
      <c r="D41" s="46"/>
      <c r="E41" s="46"/>
      <c r="F41" s="46"/>
      <c r="G41" s="46"/>
      <c r="H41" s="46"/>
      <c r="I41" s="46"/>
      <c r="J41" s="46"/>
      <c r="K41" s="46"/>
      <c r="L41" s="46"/>
      <c r="M41" s="46"/>
      <c r="N41" s="46"/>
      <c r="R41" s="46"/>
      <c r="S41" s="46"/>
      <c r="T41" s="46"/>
      <c r="U41" s="46"/>
      <c r="V41" s="46"/>
      <c r="W41" s="46"/>
      <c r="X41" s="46"/>
      <c r="Y41" s="46"/>
      <c r="Z41" s="46"/>
      <c r="AA41" s="46"/>
      <c r="AB41" s="46"/>
      <c r="AC41" s="46"/>
    </row>
    <row r="42" spans="3:29">
      <c r="C42" s="46"/>
      <c r="D42" s="46"/>
      <c r="E42" s="46"/>
      <c r="F42" s="46"/>
      <c r="G42" s="46"/>
      <c r="H42" s="46"/>
      <c r="I42" s="46"/>
      <c r="J42" s="46"/>
      <c r="K42" s="46"/>
      <c r="L42" s="46"/>
      <c r="M42" s="46"/>
      <c r="N42" s="46"/>
      <c r="R42" s="46"/>
      <c r="S42" s="46"/>
      <c r="T42" s="46"/>
      <c r="U42" s="46"/>
      <c r="V42" s="46"/>
      <c r="W42" s="46"/>
      <c r="X42" s="46"/>
      <c r="Y42" s="46"/>
      <c r="Z42" s="46"/>
      <c r="AA42" s="46"/>
      <c r="AB42" s="46"/>
      <c r="AC42" s="46"/>
    </row>
    <row r="43" spans="3:29">
      <c r="C43" s="322"/>
      <c r="D43" s="322"/>
      <c r="E43" s="323"/>
      <c r="F43" s="323"/>
      <c r="G43" s="323"/>
      <c r="H43" s="323"/>
      <c r="I43" s="323"/>
      <c r="J43" s="323"/>
      <c r="K43" s="323"/>
      <c r="L43" s="323"/>
      <c r="M43" s="323"/>
      <c r="N43" s="323"/>
      <c r="R43" s="322"/>
      <c r="S43" s="322"/>
      <c r="T43" s="323"/>
      <c r="U43" s="323"/>
      <c r="V43" s="323"/>
      <c r="W43" s="323"/>
      <c r="X43" s="323"/>
      <c r="Y43" s="323"/>
      <c r="Z43" s="323"/>
      <c r="AA43" s="323"/>
      <c r="AB43" s="323"/>
      <c r="AC43" s="323"/>
    </row>
    <row r="44" spans="3:29">
      <c r="C44" s="318"/>
      <c r="D44" s="318"/>
      <c r="E44" s="321"/>
      <c r="F44" s="321"/>
      <c r="G44" s="321"/>
      <c r="H44" s="321"/>
      <c r="I44" s="321"/>
      <c r="J44" s="321"/>
      <c r="K44" s="321"/>
      <c r="L44" s="321"/>
      <c r="M44" s="321"/>
      <c r="N44" s="321"/>
      <c r="R44" s="318"/>
      <c r="S44" s="318"/>
      <c r="T44" s="321"/>
      <c r="U44" s="321"/>
      <c r="V44" s="321"/>
      <c r="W44" s="321"/>
      <c r="X44" s="321"/>
      <c r="Y44" s="321"/>
      <c r="Z44" s="321"/>
      <c r="AA44" s="321"/>
      <c r="AB44" s="321"/>
      <c r="AC44" s="321"/>
    </row>
    <row r="45" spans="3:29">
      <c r="C45" s="318"/>
      <c r="D45" s="318"/>
      <c r="E45" s="321"/>
      <c r="F45" s="321"/>
      <c r="G45" s="321"/>
      <c r="H45" s="321"/>
      <c r="I45" s="321"/>
      <c r="J45" s="321"/>
      <c r="K45" s="321"/>
      <c r="L45" s="321"/>
      <c r="M45" s="321"/>
      <c r="N45" s="321"/>
      <c r="R45" s="318"/>
      <c r="S45" s="318"/>
      <c r="T45" s="321"/>
      <c r="U45" s="321"/>
      <c r="V45" s="321"/>
      <c r="W45" s="321"/>
      <c r="X45" s="321"/>
      <c r="Y45" s="321"/>
      <c r="Z45" s="321"/>
      <c r="AA45" s="321"/>
      <c r="AB45" s="321"/>
      <c r="AC45" s="321"/>
    </row>
    <row r="46" spans="3:29">
      <c r="C46" s="318"/>
      <c r="D46" s="318"/>
      <c r="E46" s="321"/>
      <c r="F46" s="321"/>
      <c r="G46" s="321"/>
      <c r="H46" s="321"/>
      <c r="I46" s="321"/>
      <c r="J46" s="321"/>
      <c r="K46" s="321"/>
      <c r="L46" s="321"/>
      <c r="M46" s="321"/>
      <c r="N46" s="321"/>
      <c r="R46" s="318"/>
      <c r="S46" s="318"/>
      <c r="T46" s="321"/>
      <c r="U46" s="321"/>
      <c r="V46" s="321"/>
      <c r="W46" s="321"/>
      <c r="X46" s="321"/>
      <c r="Y46" s="321"/>
      <c r="Z46" s="321"/>
      <c r="AA46" s="321"/>
      <c r="AB46" s="321"/>
      <c r="AC46" s="321"/>
    </row>
    <row r="47" spans="3:29">
      <c r="C47" s="318"/>
      <c r="D47" s="318"/>
      <c r="E47" s="319"/>
      <c r="F47" s="320"/>
      <c r="G47" s="320"/>
      <c r="H47" s="320"/>
      <c r="I47" s="321"/>
      <c r="J47" s="321"/>
      <c r="K47" s="321"/>
      <c r="L47" s="321"/>
      <c r="M47" s="321"/>
      <c r="N47" s="321"/>
      <c r="R47" s="318"/>
      <c r="S47" s="318"/>
      <c r="T47" s="319"/>
      <c r="U47" s="320"/>
      <c r="V47" s="320"/>
      <c r="W47" s="320"/>
      <c r="X47" s="321"/>
      <c r="Y47" s="321"/>
      <c r="Z47" s="321"/>
      <c r="AA47" s="321"/>
      <c r="AB47" s="321"/>
      <c r="AC47" s="321"/>
    </row>
    <row r="48" spans="3:29">
      <c r="C48" s="46"/>
      <c r="D48" s="46"/>
      <c r="E48" s="46"/>
      <c r="F48" s="46"/>
      <c r="G48" s="46"/>
      <c r="H48" s="46"/>
      <c r="I48" s="46"/>
      <c r="J48" s="46"/>
      <c r="K48" s="46"/>
      <c r="L48" s="46"/>
      <c r="M48" s="46"/>
      <c r="N48" s="46"/>
    </row>
    <row r="49" spans="3:14">
      <c r="C49" s="46"/>
      <c r="D49" s="46"/>
      <c r="E49" s="46"/>
      <c r="F49" s="46"/>
      <c r="G49" s="46"/>
      <c r="H49" s="46"/>
      <c r="I49" s="46"/>
      <c r="J49" s="46"/>
      <c r="K49" s="46"/>
      <c r="L49" s="46"/>
      <c r="M49" s="46"/>
      <c r="N49" s="46"/>
    </row>
    <row r="50" spans="3:14">
      <c r="C50" s="206"/>
      <c r="D50" s="211" t="s">
        <v>44</v>
      </c>
      <c r="E50" s="212"/>
      <c r="F50" s="212"/>
      <c r="G50" s="212"/>
      <c r="H50" s="212"/>
      <c r="I50" s="212"/>
      <c r="J50" s="212"/>
      <c r="K50" s="212"/>
      <c r="L50" s="20"/>
      <c r="M50" s="20"/>
      <c r="N50" s="21"/>
    </row>
    <row r="51" spans="3:14">
      <c r="C51" s="207"/>
      <c r="D51" s="214"/>
      <c r="E51" s="215"/>
      <c r="F51" s="215"/>
      <c r="G51" s="215"/>
      <c r="H51" s="215"/>
      <c r="I51" s="215"/>
      <c r="J51" s="215"/>
      <c r="K51" s="215"/>
      <c r="N51" s="22"/>
    </row>
    <row r="52" spans="3:14">
      <c r="C52" s="207"/>
      <c r="D52" s="214"/>
      <c r="E52" s="215"/>
      <c r="F52" s="215"/>
      <c r="G52" s="215"/>
      <c r="H52" s="215"/>
      <c r="I52" s="215"/>
      <c r="J52" s="215"/>
      <c r="K52" s="215"/>
      <c r="N52" s="22"/>
    </row>
    <row r="53" spans="3:14">
      <c r="C53" s="207"/>
      <c r="D53" s="289"/>
      <c r="E53" s="290"/>
      <c r="F53" s="290"/>
      <c r="G53" s="290"/>
      <c r="H53" s="290"/>
      <c r="I53" s="290"/>
      <c r="J53" s="290"/>
      <c r="K53" s="290"/>
      <c r="N53" s="22"/>
    </row>
    <row r="54" spans="3:14" ht="16.5">
      <c r="C54" s="223" t="s">
        <v>45</v>
      </c>
      <c r="D54" s="224"/>
      <c r="E54" s="7" t="s">
        <v>46</v>
      </c>
      <c r="F54" s="8"/>
      <c r="G54" s="8"/>
      <c r="H54" s="8"/>
      <c r="I54" s="8"/>
      <c r="J54" s="8"/>
      <c r="K54" s="8"/>
      <c r="L54" s="8"/>
      <c r="M54" s="8"/>
      <c r="N54" s="23"/>
    </row>
    <row r="55" spans="3:14" ht="16.5">
      <c r="C55" s="223" t="s">
        <v>48</v>
      </c>
      <c r="D55" s="224"/>
      <c r="E55" s="7" t="s">
        <v>49</v>
      </c>
      <c r="F55" s="8"/>
      <c r="G55" s="8"/>
      <c r="H55" s="8"/>
      <c r="I55" s="8"/>
      <c r="J55" s="8"/>
      <c r="K55" s="8"/>
      <c r="L55" s="8"/>
      <c r="M55" s="8"/>
      <c r="N55" s="23"/>
    </row>
    <row r="56" spans="3:14" ht="16.5">
      <c r="C56" s="225" t="s">
        <v>50</v>
      </c>
      <c r="D56" s="226"/>
      <c r="E56" s="7" t="s">
        <v>51</v>
      </c>
      <c r="F56" s="8"/>
      <c r="G56" s="8"/>
      <c r="H56" s="8"/>
      <c r="I56" s="8"/>
      <c r="J56" s="8"/>
      <c r="K56" s="8"/>
      <c r="L56" s="8"/>
      <c r="M56" s="8"/>
      <c r="N56" s="23"/>
    </row>
    <row r="57" spans="3:14" ht="16.5">
      <c r="C57" s="223" t="s">
        <v>52</v>
      </c>
      <c r="D57" s="224"/>
      <c r="E57" s="7" t="s">
        <v>53</v>
      </c>
      <c r="F57" s="8"/>
      <c r="G57" s="8"/>
      <c r="H57" s="8"/>
      <c r="I57" s="8"/>
      <c r="J57" s="8"/>
      <c r="K57" s="8"/>
      <c r="L57" s="8"/>
      <c r="M57" s="8"/>
      <c r="N57" s="23"/>
    </row>
    <row r="58" spans="3:14" ht="15.75">
      <c r="C58" s="227" t="s">
        <v>1032</v>
      </c>
      <c r="D58" s="228"/>
      <c r="E58" s="228"/>
      <c r="F58" s="228"/>
      <c r="G58" s="228"/>
      <c r="H58" s="228"/>
      <c r="I58" s="228"/>
      <c r="J58" s="228"/>
      <c r="K58" s="228"/>
      <c r="L58" s="228"/>
      <c r="M58" s="228"/>
      <c r="N58" s="229"/>
    </row>
    <row r="59" spans="3:14" ht="15.75">
      <c r="C59" s="11" t="s">
        <v>55</v>
      </c>
      <c r="E59" s="12"/>
      <c r="F59" s="12"/>
      <c r="G59" s="12"/>
      <c r="H59" s="12"/>
      <c r="I59" s="24" t="s">
        <v>56</v>
      </c>
      <c r="J59" s="25"/>
      <c r="K59" s="12"/>
      <c r="L59" s="12"/>
      <c r="M59" s="12"/>
      <c r="N59" s="26"/>
    </row>
    <row r="60" spans="3:14">
      <c r="C60" s="217"/>
      <c r="D60" s="218"/>
      <c r="E60" s="218"/>
      <c r="F60" s="218"/>
      <c r="G60" s="218"/>
      <c r="H60" s="218"/>
      <c r="I60" s="218"/>
      <c r="J60" s="218"/>
      <c r="K60" s="218"/>
      <c r="L60" s="218"/>
      <c r="M60" s="218"/>
      <c r="N60" s="219"/>
    </row>
    <row r="61" spans="3:14" ht="15.75">
      <c r="C61" s="15" t="s">
        <v>103</v>
      </c>
      <c r="D61" s="355"/>
      <c r="E61" s="356"/>
      <c r="F61" s="356"/>
      <c r="G61" s="356"/>
      <c r="H61" s="357"/>
      <c r="I61" s="368" t="s">
        <v>542</v>
      </c>
      <c r="J61" s="369"/>
      <c r="K61" s="369"/>
      <c r="L61" s="369"/>
      <c r="M61" s="369"/>
      <c r="N61" s="370"/>
    </row>
    <row r="62" spans="3:14">
      <c r="C62" s="329" t="s">
        <v>59</v>
      </c>
      <c r="D62" s="209" t="s">
        <v>60</v>
      </c>
      <c r="E62" s="209" t="s">
        <v>659</v>
      </c>
      <c r="F62" s="209" t="s">
        <v>62</v>
      </c>
      <c r="G62" s="209" t="s">
        <v>63</v>
      </c>
      <c r="H62" s="209" t="s">
        <v>64</v>
      </c>
      <c r="I62" s="209" t="s">
        <v>65</v>
      </c>
      <c r="J62" s="342" t="s">
        <v>66</v>
      </c>
      <c r="K62" s="343"/>
      <c r="L62" s="344"/>
      <c r="M62" s="209" t="s">
        <v>30</v>
      </c>
      <c r="N62" s="328" t="s">
        <v>67</v>
      </c>
    </row>
    <row r="63" spans="3:14" ht="60">
      <c r="C63" s="359"/>
      <c r="D63" s="292"/>
      <c r="E63" s="292"/>
      <c r="F63" s="292"/>
      <c r="G63" s="292"/>
      <c r="H63" s="292"/>
      <c r="I63" s="292"/>
      <c r="J63" s="17" t="s">
        <v>68</v>
      </c>
      <c r="K63" s="28" t="s">
        <v>69</v>
      </c>
      <c r="L63" s="17" t="s">
        <v>70</v>
      </c>
      <c r="M63" s="292"/>
      <c r="N63" s="360"/>
    </row>
    <row r="64" spans="3:14">
      <c r="C64" s="29">
        <v>1</v>
      </c>
      <c r="D64" s="29" t="s">
        <v>71</v>
      </c>
      <c r="E64" s="29">
        <v>90</v>
      </c>
      <c r="F64" s="29" t="s">
        <v>1047</v>
      </c>
      <c r="G64" s="29" t="s">
        <v>672</v>
      </c>
      <c r="H64" s="29">
        <v>30</v>
      </c>
      <c r="I64" s="29" t="s">
        <v>106</v>
      </c>
      <c r="J64" s="29">
        <v>3.1</v>
      </c>
      <c r="K64" s="29">
        <v>1</v>
      </c>
      <c r="L64" s="29">
        <v>4.0999999999999996</v>
      </c>
      <c r="M64" s="29"/>
      <c r="N64" s="29"/>
    </row>
    <row r="65" spans="3:14">
      <c r="C65" s="29">
        <f>1+C64</f>
        <v>2</v>
      </c>
      <c r="D65" s="29" t="s">
        <v>71</v>
      </c>
      <c r="E65" s="29">
        <v>90</v>
      </c>
      <c r="F65" s="29" t="s">
        <v>1047</v>
      </c>
      <c r="G65" s="29" t="s">
        <v>672</v>
      </c>
      <c r="H65" s="29">
        <f>169.7-30</f>
        <v>139.69999999999999</v>
      </c>
      <c r="I65" s="29" t="s">
        <v>106</v>
      </c>
      <c r="J65" s="29">
        <v>3.1</v>
      </c>
      <c r="K65" s="29">
        <v>1</v>
      </c>
      <c r="L65" s="29">
        <v>4.0999999999999996</v>
      </c>
      <c r="M65" s="29"/>
      <c r="N65" s="29"/>
    </row>
    <row r="66" spans="3:14">
      <c r="C66" s="29">
        <f t="shared" ref="C66:C101" si="1">1+C65</f>
        <v>3</v>
      </c>
      <c r="D66" s="29" t="s">
        <v>71</v>
      </c>
      <c r="E66" s="29">
        <v>90</v>
      </c>
      <c r="F66" s="29" t="s">
        <v>672</v>
      </c>
      <c r="G66" s="29" t="s">
        <v>1048</v>
      </c>
      <c r="H66" s="29">
        <v>2.7</v>
      </c>
      <c r="I66" s="29" t="s">
        <v>106</v>
      </c>
      <c r="J66" s="29">
        <v>3.1</v>
      </c>
      <c r="K66" s="29">
        <v>1</v>
      </c>
      <c r="L66" s="29">
        <v>4.0999999999999996</v>
      </c>
      <c r="M66" s="29"/>
      <c r="N66" s="29"/>
    </row>
    <row r="67" spans="3:14">
      <c r="C67" s="29">
        <f t="shared" si="1"/>
        <v>4</v>
      </c>
      <c r="D67" s="29" t="s">
        <v>71</v>
      </c>
      <c r="E67" s="29">
        <v>90</v>
      </c>
      <c r="F67" s="29" t="s">
        <v>672</v>
      </c>
      <c r="G67" s="29" t="s">
        <v>1048</v>
      </c>
      <c r="H67" s="29">
        <v>103</v>
      </c>
      <c r="I67" s="29" t="s">
        <v>106</v>
      </c>
      <c r="J67" s="29">
        <v>3.1</v>
      </c>
      <c r="K67" s="29">
        <v>1</v>
      </c>
      <c r="L67" s="29">
        <v>4.0999999999999996</v>
      </c>
      <c r="M67" s="29"/>
      <c r="N67" s="29"/>
    </row>
    <row r="68" spans="3:14">
      <c r="C68" s="29">
        <f t="shared" si="1"/>
        <v>5</v>
      </c>
      <c r="D68" s="29" t="s">
        <v>71</v>
      </c>
      <c r="E68" s="29">
        <v>90</v>
      </c>
      <c r="F68" s="29" t="s">
        <v>1048</v>
      </c>
      <c r="G68" s="29" t="s">
        <v>1049</v>
      </c>
      <c r="H68" s="29">
        <v>102.6</v>
      </c>
      <c r="I68" s="29" t="s">
        <v>106</v>
      </c>
      <c r="J68" s="29">
        <v>3.1</v>
      </c>
      <c r="K68" s="29">
        <v>1</v>
      </c>
      <c r="L68" s="29">
        <v>4.0999999999999996</v>
      </c>
      <c r="M68" s="29"/>
      <c r="N68" s="29"/>
    </row>
    <row r="69" spans="3:14">
      <c r="C69" s="29">
        <f t="shared" si="1"/>
        <v>6</v>
      </c>
      <c r="D69" s="29" t="s">
        <v>71</v>
      </c>
      <c r="E69" s="29">
        <v>90</v>
      </c>
      <c r="F69" s="29" t="s">
        <v>1049</v>
      </c>
      <c r="G69" s="29" t="s">
        <v>885</v>
      </c>
      <c r="H69" s="29">
        <v>30.1</v>
      </c>
      <c r="I69" s="29" t="s">
        <v>106</v>
      </c>
      <c r="J69" s="29">
        <v>3.1</v>
      </c>
      <c r="K69" s="29">
        <v>1</v>
      </c>
      <c r="L69" s="29">
        <v>4.0999999999999996</v>
      </c>
      <c r="M69" s="29"/>
      <c r="N69" s="29"/>
    </row>
    <row r="70" spans="3:14">
      <c r="C70" s="29">
        <f t="shared" si="1"/>
        <v>7</v>
      </c>
      <c r="D70" s="29" t="s">
        <v>71</v>
      </c>
      <c r="E70" s="29">
        <v>90</v>
      </c>
      <c r="F70" s="29" t="s">
        <v>885</v>
      </c>
      <c r="G70" s="29" t="s">
        <v>1050</v>
      </c>
      <c r="H70" s="29">
        <v>81.099999999999994</v>
      </c>
      <c r="I70" s="29" t="s">
        <v>106</v>
      </c>
      <c r="J70" s="29">
        <v>3.1</v>
      </c>
      <c r="K70" s="29">
        <v>1</v>
      </c>
      <c r="L70" s="29">
        <v>4.0999999999999996</v>
      </c>
      <c r="M70" s="29"/>
      <c r="N70" s="29"/>
    </row>
    <row r="71" spans="3:14">
      <c r="C71" s="29">
        <f t="shared" si="1"/>
        <v>8</v>
      </c>
      <c r="D71" s="29" t="s">
        <v>71</v>
      </c>
      <c r="E71" s="29">
        <v>90</v>
      </c>
      <c r="F71" s="29" t="s">
        <v>1050</v>
      </c>
      <c r="G71" s="29" t="s">
        <v>1051</v>
      </c>
      <c r="H71" s="29">
        <v>2.2999999999999998</v>
      </c>
      <c r="I71" s="29" t="s">
        <v>106</v>
      </c>
      <c r="J71" s="29">
        <v>3.1</v>
      </c>
      <c r="K71" s="29">
        <v>1</v>
      </c>
      <c r="L71" s="29">
        <v>4.0999999999999996</v>
      </c>
      <c r="M71" s="29"/>
      <c r="N71" s="29"/>
    </row>
    <row r="72" spans="3:14">
      <c r="C72" s="29">
        <f t="shared" si="1"/>
        <v>9</v>
      </c>
      <c r="D72" s="29" t="s">
        <v>71</v>
      </c>
      <c r="E72" s="29">
        <v>90</v>
      </c>
      <c r="F72" s="29" t="s">
        <v>1048</v>
      </c>
      <c r="G72" s="29" t="s">
        <v>1052</v>
      </c>
      <c r="H72" s="29">
        <v>69.599999999999994</v>
      </c>
      <c r="I72" s="29" t="s">
        <v>106</v>
      </c>
      <c r="J72" s="29">
        <v>3.1</v>
      </c>
      <c r="K72" s="29">
        <v>1</v>
      </c>
      <c r="L72" s="29">
        <v>4.0999999999999996</v>
      </c>
      <c r="M72" s="29"/>
      <c r="N72" s="29"/>
    </row>
    <row r="73" spans="3:14">
      <c r="C73" s="29">
        <f t="shared" si="1"/>
        <v>10</v>
      </c>
      <c r="D73" s="29" t="s">
        <v>71</v>
      </c>
      <c r="E73" s="29">
        <v>90</v>
      </c>
      <c r="F73" s="29" t="s">
        <v>1052</v>
      </c>
      <c r="G73" s="29" t="s">
        <v>644</v>
      </c>
      <c r="H73" s="29">
        <v>171.6</v>
      </c>
      <c r="I73" s="29" t="s">
        <v>106</v>
      </c>
      <c r="J73" s="29">
        <v>3.1</v>
      </c>
      <c r="K73" s="29">
        <v>1</v>
      </c>
      <c r="L73" s="29">
        <v>4.0999999999999996</v>
      </c>
      <c r="M73" s="29"/>
      <c r="N73" s="29"/>
    </row>
    <row r="74" spans="3:14">
      <c r="C74" s="29">
        <f t="shared" si="1"/>
        <v>11</v>
      </c>
      <c r="D74" s="29" t="s">
        <v>71</v>
      </c>
      <c r="E74" s="29">
        <v>90</v>
      </c>
      <c r="F74" s="29" t="s">
        <v>644</v>
      </c>
      <c r="G74" s="29" t="s">
        <v>1053</v>
      </c>
      <c r="H74" s="29">
        <v>35.799999999999997</v>
      </c>
      <c r="I74" s="29" t="s">
        <v>106</v>
      </c>
      <c r="J74" s="29">
        <v>3.1</v>
      </c>
      <c r="K74" s="29">
        <v>1</v>
      </c>
      <c r="L74" s="29">
        <v>4.0999999999999996</v>
      </c>
      <c r="M74" s="29"/>
      <c r="N74" s="29"/>
    </row>
    <row r="75" spans="3:14">
      <c r="C75" s="29">
        <f t="shared" si="1"/>
        <v>12</v>
      </c>
      <c r="D75" s="29" t="s">
        <v>71</v>
      </c>
      <c r="E75" s="29">
        <v>90</v>
      </c>
      <c r="F75" s="29" t="s">
        <v>1053</v>
      </c>
      <c r="G75" s="29" t="s">
        <v>1054</v>
      </c>
      <c r="H75" s="29">
        <v>106</v>
      </c>
      <c r="I75" s="29" t="s">
        <v>106</v>
      </c>
      <c r="J75" s="29">
        <v>3.1</v>
      </c>
      <c r="K75" s="29">
        <v>1</v>
      </c>
      <c r="L75" s="29">
        <v>4.0999999999999996</v>
      </c>
      <c r="M75" s="29"/>
      <c r="N75" s="29"/>
    </row>
    <row r="76" spans="3:14">
      <c r="C76" s="29">
        <f t="shared" si="1"/>
        <v>13</v>
      </c>
      <c r="D76" s="29" t="s">
        <v>71</v>
      </c>
      <c r="E76" s="29">
        <v>90</v>
      </c>
      <c r="F76" s="29" t="s">
        <v>1055</v>
      </c>
      <c r="G76" s="29" t="s">
        <v>885</v>
      </c>
      <c r="H76" s="29">
        <v>105.8</v>
      </c>
      <c r="I76" s="29" t="s">
        <v>106</v>
      </c>
      <c r="J76" s="29">
        <v>3.1</v>
      </c>
      <c r="K76" s="29">
        <v>1</v>
      </c>
      <c r="L76" s="29">
        <v>4.0999999999999996</v>
      </c>
      <c r="M76" s="29"/>
      <c r="N76" s="29"/>
    </row>
    <row r="77" spans="3:14">
      <c r="C77" s="29">
        <f t="shared" si="1"/>
        <v>14</v>
      </c>
      <c r="D77" s="29" t="s">
        <v>71</v>
      </c>
      <c r="E77" s="29">
        <v>90</v>
      </c>
      <c r="F77" s="29" t="s">
        <v>1055</v>
      </c>
      <c r="G77" s="29" t="s">
        <v>287</v>
      </c>
      <c r="H77" s="29">
        <v>92.7</v>
      </c>
      <c r="I77" s="29" t="s">
        <v>106</v>
      </c>
      <c r="J77" s="29">
        <v>3.1</v>
      </c>
      <c r="K77" s="29">
        <v>1</v>
      </c>
      <c r="L77" s="29">
        <v>4.0999999999999996</v>
      </c>
      <c r="M77" s="29"/>
      <c r="N77" s="29"/>
    </row>
    <row r="78" spans="3:14">
      <c r="C78" s="29">
        <f t="shared" si="1"/>
        <v>15</v>
      </c>
      <c r="D78" s="29" t="s">
        <v>71</v>
      </c>
      <c r="E78" s="29">
        <v>90</v>
      </c>
      <c r="F78" s="29" t="s">
        <v>287</v>
      </c>
      <c r="G78" s="29" t="s">
        <v>300</v>
      </c>
      <c r="H78" s="29">
        <v>30.6</v>
      </c>
      <c r="I78" s="29" t="s">
        <v>106</v>
      </c>
      <c r="J78" s="29">
        <v>3.1</v>
      </c>
      <c r="K78" s="29">
        <v>1</v>
      </c>
      <c r="L78" s="29">
        <v>4.0999999999999996</v>
      </c>
      <c r="M78" s="29"/>
      <c r="N78" s="29"/>
    </row>
    <row r="79" spans="3:14">
      <c r="C79" s="29">
        <f t="shared" si="1"/>
        <v>16</v>
      </c>
      <c r="D79" s="29" t="s">
        <v>71</v>
      </c>
      <c r="E79" s="29">
        <v>90</v>
      </c>
      <c r="F79" s="29" t="s">
        <v>300</v>
      </c>
      <c r="G79" s="29" t="s">
        <v>397</v>
      </c>
      <c r="H79" s="29">
        <v>48.3</v>
      </c>
      <c r="I79" s="29" t="s">
        <v>106</v>
      </c>
      <c r="J79" s="29">
        <v>3.1</v>
      </c>
      <c r="K79" s="29">
        <v>1</v>
      </c>
      <c r="L79" s="29">
        <v>4.0999999999999996</v>
      </c>
      <c r="M79" s="29"/>
      <c r="N79" s="29"/>
    </row>
    <row r="80" spans="3:14">
      <c r="C80" s="29">
        <f t="shared" si="1"/>
        <v>17</v>
      </c>
      <c r="D80" s="29" t="s">
        <v>71</v>
      </c>
      <c r="E80" s="29">
        <v>90</v>
      </c>
      <c r="F80" s="29" t="s">
        <v>300</v>
      </c>
      <c r="G80" s="29" t="s">
        <v>797</v>
      </c>
      <c r="H80" s="29">
        <v>69.7</v>
      </c>
      <c r="I80" s="29" t="s">
        <v>106</v>
      </c>
      <c r="J80" s="29">
        <v>3.1</v>
      </c>
      <c r="K80" s="29">
        <v>1</v>
      </c>
      <c r="L80" s="29">
        <v>4.0999999999999996</v>
      </c>
      <c r="M80" s="29"/>
      <c r="N80" s="29"/>
    </row>
    <row r="81" spans="3:14">
      <c r="C81" s="29">
        <f t="shared" si="1"/>
        <v>18</v>
      </c>
      <c r="D81" s="29" t="s">
        <v>71</v>
      </c>
      <c r="E81" s="29">
        <v>90</v>
      </c>
      <c r="F81" s="29" t="s">
        <v>397</v>
      </c>
      <c r="G81" s="29" t="s">
        <v>478</v>
      </c>
      <c r="H81" s="29">
        <v>42.7</v>
      </c>
      <c r="I81" s="29" t="s">
        <v>106</v>
      </c>
      <c r="J81" s="29">
        <v>3.1</v>
      </c>
      <c r="K81" s="29">
        <v>1</v>
      </c>
      <c r="L81" s="29">
        <v>4.0999999999999996</v>
      </c>
      <c r="M81" s="29"/>
      <c r="N81" s="29"/>
    </row>
    <row r="82" spans="3:14">
      <c r="C82" s="29">
        <f t="shared" si="1"/>
        <v>19</v>
      </c>
      <c r="D82" s="29" t="s">
        <v>71</v>
      </c>
      <c r="E82" s="29">
        <v>90</v>
      </c>
      <c r="F82" s="29" t="s">
        <v>478</v>
      </c>
      <c r="G82" s="29" t="s">
        <v>670</v>
      </c>
      <c r="H82" s="29">
        <v>110.7</v>
      </c>
      <c r="I82" s="29" t="s">
        <v>106</v>
      </c>
      <c r="J82" s="29">
        <v>3.1</v>
      </c>
      <c r="K82" s="29">
        <v>1</v>
      </c>
      <c r="L82" s="29">
        <v>4.0999999999999996</v>
      </c>
      <c r="M82" s="29"/>
      <c r="N82" s="29"/>
    </row>
    <row r="83" spans="3:14">
      <c r="C83" s="29">
        <f t="shared" si="1"/>
        <v>20</v>
      </c>
      <c r="D83" s="29" t="s">
        <v>71</v>
      </c>
      <c r="E83" s="29">
        <v>90</v>
      </c>
      <c r="F83" s="29" t="s">
        <v>686</v>
      </c>
      <c r="G83" s="29" t="s">
        <v>1039</v>
      </c>
      <c r="H83" s="29">
        <v>54</v>
      </c>
      <c r="I83" s="29" t="s">
        <v>106</v>
      </c>
      <c r="J83" s="29">
        <v>3.1</v>
      </c>
      <c r="K83" s="29">
        <v>1</v>
      </c>
      <c r="L83" s="29">
        <v>4.0999999999999996</v>
      </c>
      <c r="M83" s="29"/>
      <c r="N83" s="29"/>
    </row>
    <row r="84" spans="3:14">
      <c r="C84" s="29">
        <f t="shared" si="1"/>
        <v>21</v>
      </c>
      <c r="D84" s="29" t="s">
        <v>71</v>
      </c>
      <c r="E84" s="29">
        <v>90</v>
      </c>
      <c r="F84" s="29" t="s">
        <v>1056</v>
      </c>
      <c r="G84" s="29" t="s">
        <v>1035</v>
      </c>
      <c r="H84" s="29">
        <v>7.2</v>
      </c>
      <c r="I84" s="29" t="s">
        <v>106</v>
      </c>
      <c r="J84" s="29">
        <v>3.1</v>
      </c>
      <c r="K84" s="29">
        <v>1</v>
      </c>
      <c r="L84" s="29">
        <v>4.0999999999999996</v>
      </c>
      <c r="M84" s="29"/>
      <c r="N84" s="29"/>
    </row>
    <row r="85" spans="3:14">
      <c r="C85" s="29">
        <f t="shared" si="1"/>
        <v>22</v>
      </c>
      <c r="D85" s="29" t="s">
        <v>71</v>
      </c>
      <c r="E85" s="29">
        <v>90</v>
      </c>
      <c r="F85" s="29" t="s">
        <v>1056</v>
      </c>
      <c r="G85" s="29" t="s">
        <v>1035</v>
      </c>
      <c r="H85" s="29">
        <f>53.6-7.2</f>
        <v>46.4</v>
      </c>
      <c r="I85" s="29" t="s">
        <v>106</v>
      </c>
      <c r="J85" s="29">
        <v>3.1</v>
      </c>
      <c r="K85" s="29">
        <v>1</v>
      </c>
      <c r="L85" s="29">
        <v>4.0999999999999996</v>
      </c>
      <c r="M85" s="29"/>
      <c r="N85" s="29"/>
    </row>
    <row r="86" spans="3:14">
      <c r="C86" s="29">
        <f t="shared" si="1"/>
        <v>23</v>
      </c>
      <c r="D86" s="29" t="s">
        <v>71</v>
      </c>
      <c r="E86" s="29">
        <v>90</v>
      </c>
      <c r="F86" s="29" t="s">
        <v>1039</v>
      </c>
      <c r="G86" s="29" t="s">
        <v>1033</v>
      </c>
      <c r="H86" s="29">
        <v>46</v>
      </c>
      <c r="I86" s="29" t="s">
        <v>106</v>
      </c>
      <c r="J86" s="29">
        <v>3.1</v>
      </c>
      <c r="K86" s="29">
        <v>1</v>
      </c>
      <c r="L86" s="29">
        <v>4.0999999999999996</v>
      </c>
      <c r="M86" s="29"/>
      <c r="N86" s="29"/>
    </row>
    <row r="87" spans="3:14">
      <c r="C87" s="29">
        <f t="shared" si="1"/>
        <v>24</v>
      </c>
      <c r="D87" s="29" t="s">
        <v>71</v>
      </c>
      <c r="E87" s="29">
        <v>90</v>
      </c>
      <c r="F87" s="29" t="s">
        <v>1034</v>
      </c>
      <c r="G87" s="29" t="s">
        <v>1057</v>
      </c>
      <c r="H87" s="29">
        <v>45.4</v>
      </c>
      <c r="I87" s="29" t="s">
        <v>106</v>
      </c>
      <c r="J87" s="29">
        <v>3.1</v>
      </c>
      <c r="K87" s="29">
        <v>1</v>
      </c>
      <c r="L87" s="29">
        <v>4.0999999999999996</v>
      </c>
      <c r="M87" s="29"/>
      <c r="N87" s="29"/>
    </row>
    <row r="88" spans="3:14">
      <c r="C88" s="29">
        <f t="shared" si="1"/>
        <v>25</v>
      </c>
      <c r="D88" s="29" t="s">
        <v>71</v>
      </c>
      <c r="E88" s="29">
        <v>90</v>
      </c>
      <c r="F88" s="29" t="s">
        <v>1033</v>
      </c>
      <c r="G88" s="29" t="s">
        <v>93</v>
      </c>
      <c r="H88" s="29">
        <v>480.2</v>
      </c>
      <c r="I88" s="29" t="s">
        <v>106</v>
      </c>
      <c r="J88" s="29">
        <v>3.1</v>
      </c>
      <c r="K88" s="29">
        <v>1</v>
      </c>
      <c r="L88" s="29">
        <v>4.0999999999999996</v>
      </c>
      <c r="M88" s="29"/>
      <c r="N88" s="29"/>
    </row>
    <row r="89" spans="3:14">
      <c r="C89" s="29">
        <f t="shared" si="1"/>
        <v>26</v>
      </c>
      <c r="D89" s="29" t="s">
        <v>71</v>
      </c>
      <c r="E89" s="29">
        <v>90</v>
      </c>
      <c r="F89" s="29" t="s">
        <v>611</v>
      </c>
      <c r="G89" s="29" t="s">
        <v>1058</v>
      </c>
      <c r="H89" s="29">
        <v>570.29999999999995</v>
      </c>
      <c r="I89" s="29" t="s">
        <v>106</v>
      </c>
      <c r="J89" s="29">
        <v>3.1</v>
      </c>
      <c r="K89" s="29">
        <v>1</v>
      </c>
      <c r="L89" s="29">
        <v>4.0999999999999996</v>
      </c>
      <c r="M89" s="29"/>
      <c r="N89" s="29"/>
    </row>
    <row r="90" spans="3:14">
      <c r="C90" s="29">
        <f t="shared" si="1"/>
        <v>27</v>
      </c>
      <c r="D90" s="29" t="s">
        <v>71</v>
      </c>
      <c r="E90" s="29">
        <v>90</v>
      </c>
      <c r="F90" s="29" t="s">
        <v>671</v>
      </c>
      <c r="G90" s="29" t="s">
        <v>796</v>
      </c>
      <c r="H90" s="29">
        <v>75.599999999999994</v>
      </c>
      <c r="I90" s="29" t="s">
        <v>106</v>
      </c>
      <c r="J90" s="29">
        <v>3.1</v>
      </c>
      <c r="K90" s="29">
        <v>1</v>
      </c>
      <c r="L90" s="29">
        <v>4.0999999999999996</v>
      </c>
      <c r="M90" s="29"/>
      <c r="N90" s="29"/>
    </row>
    <row r="91" spans="3:14">
      <c r="C91" s="29">
        <f t="shared" si="1"/>
        <v>28</v>
      </c>
      <c r="D91" s="29" t="s">
        <v>71</v>
      </c>
      <c r="E91" s="29">
        <v>90</v>
      </c>
      <c r="F91" s="29" t="s">
        <v>796</v>
      </c>
      <c r="G91" s="29" t="s">
        <v>1041</v>
      </c>
      <c r="H91" s="29">
        <v>75.599999999999994</v>
      </c>
      <c r="I91" s="29" t="s">
        <v>106</v>
      </c>
      <c r="J91" s="29">
        <v>3.1</v>
      </c>
      <c r="K91" s="29">
        <v>1</v>
      </c>
      <c r="L91" s="29">
        <v>4.0999999999999996</v>
      </c>
      <c r="M91" s="29"/>
      <c r="N91" s="29"/>
    </row>
    <row r="92" spans="3:14">
      <c r="C92" s="29">
        <f t="shared" si="1"/>
        <v>29</v>
      </c>
      <c r="D92" s="29" t="s">
        <v>71</v>
      </c>
      <c r="E92" s="29">
        <v>90</v>
      </c>
      <c r="F92" s="29" t="s">
        <v>796</v>
      </c>
      <c r="G92" s="29" t="s">
        <v>1041</v>
      </c>
      <c r="H92" s="29">
        <v>49.4</v>
      </c>
      <c r="I92" s="29" t="s">
        <v>106</v>
      </c>
      <c r="J92" s="29">
        <v>3.1</v>
      </c>
      <c r="K92" s="29">
        <v>1</v>
      </c>
      <c r="L92" s="29">
        <v>4.0999999999999996</v>
      </c>
      <c r="M92" s="29"/>
      <c r="N92" s="29"/>
    </row>
    <row r="93" spans="3:14">
      <c r="C93" s="29">
        <f t="shared" si="1"/>
        <v>30</v>
      </c>
      <c r="D93" s="29" t="s">
        <v>71</v>
      </c>
      <c r="E93" s="29">
        <v>90</v>
      </c>
      <c r="F93" s="29" t="s">
        <v>1059</v>
      </c>
      <c r="G93" s="29" t="s">
        <v>294</v>
      </c>
      <c r="H93" s="29">
        <v>108.3</v>
      </c>
      <c r="I93" s="29" t="s">
        <v>106</v>
      </c>
      <c r="J93" s="29">
        <v>3.1</v>
      </c>
      <c r="K93" s="29">
        <v>1</v>
      </c>
      <c r="L93" s="29">
        <v>4.0999999999999996</v>
      </c>
      <c r="M93" s="29"/>
      <c r="N93" s="29"/>
    </row>
    <row r="94" spans="3:14">
      <c r="C94" s="29">
        <f t="shared" si="1"/>
        <v>31</v>
      </c>
      <c r="D94" s="29" t="s">
        <v>71</v>
      </c>
      <c r="E94" s="29">
        <v>90</v>
      </c>
      <c r="F94" s="29" t="s">
        <v>294</v>
      </c>
      <c r="G94" s="29" t="s">
        <v>696</v>
      </c>
      <c r="H94" s="29">
        <v>77.2</v>
      </c>
      <c r="I94" s="29" t="s">
        <v>106</v>
      </c>
      <c r="J94" s="29">
        <v>3.1</v>
      </c>
      <c r="K94" s="29">
        <v>1</v>
      </c>
      <c r="L94" s="29">
        <v>4.0999999999999996</v>
      </c>
      <c r="M94" s="29"/>
      <c r="N94" s="29"/>
    </row>
    <row r="95" spans="3:14">
      <c r="C95" s="29">
        <f t="shared" si="1"/>
        <v>32</v>
      </c>
      <c r="D95" s="29" t="s">
        <v>71</v>
      </c>
      <c r="E95" s="29">
        <v>90</v>
      </c>
      <c r="F95" s="29" t="s">
        <v>696</v>
      </c>
      <c r="G95" s="29" t="s">
        <v>799</v>
      </c>
      <c r="H95" s="29">
        <v>39.799999999999997</v>
      </c>
      <c r="I95" s="29" t="s">
        <v>106</v>
      </c>
      <c r="J95" s="29">
        <v>3.1</v>
      </c>
      <c r="K95" s="29">
        <v>1</v>
      </c>
      <c r="L95" s="29">
        <v>4.0999999999999996</v>
      </c>
      <c r="M95" s="29"/>
      <c r="N95" s="29"/>
    </row>
    <row r="96" spans="3:14">
      <c r="C96" s="29">
        <f t="shared" si="1"/>
        <v>33</v>
      </c>
      <c r="D96" s="29" t="s">
        <v>71</v>
      </c>
      <c r="E96" s="29">
        <v>90</v>
      </c>
      <c r="F96" s="29" t="s">
        <v>799</v>
      </c>
      <c r="G96" s="29" t="s">
        <v>692</v>
      </c>
      <c r="H96" s="29">
        <v>85.3</v>
      </c>
      <c r="I96" s="29" t="s">
        <v>106</v>
      </c>
      <c r="J96" s="29">
        <v>3.1</v>
      </c>
      <c r="K96" s="29">
        <v>1</v>
      </c>
      <c r="L96" s="29">
        <v>4.0999999999999996</v>
      </c>
      <c r="M96" s="29"/>
      <c r="N96" s="29"/>
    </row>
    <row r="97" spans="3:14">
      <c r="C97" s="29">
        <f t="shared" si="1"/>
        <v>34</v>
      </c>
      <c r="D97" s="29" t="s">
        <v>71</v>
      </c>
      <c r="E97" s="29">
        <v>90</v>
      </c>
      <c r="F97" s="29" t="s">
        <v>692</v>
      </c>
      <c r="G97" s="29" t="s">
        <v>761</v>
      </c>
      <c r="H97" s="29">
        <v>99.9</v>
      </c>
      <c r="I97" s="29" t="s">
        <v>106</v>
      </c>
      <c r="J97" s="29">
        <v>3.1</v>
      </c>
      <c r="K97" s="29">
        <v>1</v>
      </c>
      <c r="L97" s="29">
        <v>4.0999999999999996</v>
      </c>
      <c r="M97" s="29"/>
      <c r="N97" s="29"/>
    </row>
    <row r="98" spans="3:14">
      <c r="C98" s="29">
        <f t="shared" si="1"/>
        <v>35</v>
      </c>
      <c r="D98" s="29" t="s">
        <v>71</v>
      </c>
      <c r="E98" s="29">
        <v>90</v>
      </c>
      <c r="F98" s="29" t="s">
        <v>765</v>
      </c>
      <c r="G98" s="29" t="s">
        <v>788</v>
      </c>
      <c r="H98" s="29">
        <v>59.6</v>
      </c>
      <c r="I98" s="29" t="s">
        <v>106</v>
      </c>
      <c r="J98" s="29">
        <v>3.1</v>
      </c>
      <c r="K98" s="29">
        <v>1</v>
      </c>
      <c r="L98" s="29">
        <v>4.0999999999999996</v>
      </c>
      <c r="M98" s="29"/>
      <c r="N98" s="29"/>
    </row>
    <row r="99" spans="3:14">
      <c r="C99" s="29">
        <f t="shared" si="1"/>
        <v>36</v>
      </c>
      <c r="D99" s="29" t="s">
        <v>71</v>
      </c>
      <c r="E99" s="29">
        <v>90</v>
      </c>
      <c r="F99" s="29" t="s">
        <v>509</v>
      </c>
      <c r="G99" s="29" t="s">
        <v>1060</v>
      </c>
      <c r="H99" s="29">
        <v>57.1</v>
      </c>
      <c r="I99" s="29" t="s">
        <v>106</v>
      </c>
      <c r="J99" s="29">
        <v>3.1</v>
      </c>
      <c r="K99" s="29">
        <v>1</v>
      </c>
      <c r="L99" s="29">
        <v>4.0999999999999996</v>
      </c>
      <c r="M99" s="29"/>
      <c r="N99" s="29"/>
    </row>
    <row r="100" spans="3:14">
      <c r="C100" s="29">
        <f t="shared" si="1"/>
        <v>37</v>
      </c>
      <c r="D100" s="29" t="s">
        <v>71</v>
      </c>
      <c r="E100" s="29">
        <v>90</v>
      </c>
      <c r="F100" s="29" t="s">
        <v>1060</v>
      </c>
      <c r="G100" s="29" t="s">
        <v>720</v>
      </c>
      <c r="H100" s="29">
        <v>56.3</v>
      </c>
      <c r="I100" s="29" t="s">
        <v>106</v>
      </c>
      <c r="J100" s="29">
        <v>3.1</v>
      </c>
      <c r="K100" s="29">
        <v>1</v>
      </c>
      <c r="L100" s="29">
        <v>4.0999999999999996</v>
      </c>
      <c r="M100" s="29"/>
      <c r="N100" s="29"/>
    </row>
    <row r="101" spans="3:14">
      <c r="C101" s="29">
        <f t="shared" si="1"/>
        <v>38</v>
      </c>
      <c r="D101" s="29" t="s">
        <v>71</v>
      </c>
      <c r="E101" s="29">
        <v>90</v>
      </c>
      <c r="F101" s="29" t="s">
        <v>720</v>
      </c>
      <c r="G101" s="29" t="s">
        <v>409</v>
      </c>
      <c r="H101" s="29">
        <v>14.3</v>
      </c>
      <c r="I101" s="29" t="s">
        <v>106</v>
      </c>
      <c r="J101" s="29">
        <v>3.1</v>
      </c>
      <c r="K101" s="29">
        <v>1</v>
      </c>
      <c r="L101" s="29">
        <v>4.0999999999999996</v>
      </c>
      <c r="M101" s="29"/>
      <c r="N101" s="29"/>
    </row>
    <row r="102" spans="3:14">
      <c r="C102" s="29"/>
      <c r="D102" s="29"/>
      <c r="E102" s="29"/>
      <c r="F102" s="29"/>
      <c r="G102" s="29"/>
      <c r="H102" s="29"/>
      <c r="I102" s="29"/>
      <c r="J102" s="29"/>
      <c r="K102" s="29"/>
      <c r="L102" s="29"/>
      <c r="M102" s="29"/>
      <c r="N102" s="29"/>
    </row>
    <row r="103" spans="3:14">
      <c r="C103" s="324"/>
      <c r="D103" s="324"/>
      <c r="E103" s="325" t="s">
        <v>86</v>
      </c>
      <c r="F103" s="325"/>
      <c r="G103" s="325"/>
      <c r="H103" s="325"/>
      <c r="I103" s="325" t="s">
        <v>87</v>
      </c>
      <c r="J103" s="325"/>
      <c r="K103" s="325"/>
      <c r="L103" s="325" t="s">
        <v>39</v>
      </c>
      <c r="M103" s="325"/>
      <c r="N103" s="325"/>
    </row>
    <row r="104" spans="3:14">
      <c r="C104" s="295" t="s">
        <v>40</v>
      </c>
      <c r="D104" s="295"/>
      <c r="E104" s="317"/>
      <c r="F104" s="317"/>
      <c r="G104" s="317"/>
      <c r="H104" s="317"/>
      <c r="I104" s="317"/>
      <c r="J104" s="317"/>
      <c r="K104" s="317"/>
      <c r="L104" s="317"/>
      <c r="M104" s="317"/>
      <c r="N104" s="317"/>
    </row>
    <row r="105" spans="3:14">
      <c r="C105" s="295" t="s">
        <v>41</v>
      </c>
      <c r="D105" s="295"/>
      <c r="E105" s="317"/>
      <c r="F105" s="317"/>
      <c r="G105" s="317"/>
      <c r="H105" s="317"/>
      <c r="I105" s="317"/>
      <c r="J105" s="317"/>
      <c r="K105" s="317"/>
      <c r="L105" s="317"/>
      <c r="M105" s="317"/>
      <c r="N105" s="317"/>
    </row>
    <row r="106" spans="3:14">
      <c r="C106" s="295" t="s">
        <v>42</v>
      </c>
      <c r="D106" s="295"/>
      <c r="E106" s="317"/>
      <c r="F106" s="317"/>
      <c r="G106" s="317"/>
      <c r="H106" s="317"/>
      <c r="I106" s="317"/>
      <c r="J106" s="317"/>
      <c r="K106" s="317"/>
      <c r="L106" s="317"/>
      <c r="M106" s="317"/>
      <c r="N106" s="317"/>
    </row>
    <row r="107" spans="3:14">
      <c r="C107" s="295" t="s">
        <v>43</v>
      </c>
      <c r="D107" s="295"/>
      <c r="E107" s="315"/>
      <c r="F107" s="316"/>
      <c r="G107" s="316"/>
      <c r="H107" s="316"/>
      <c r="I107" s="317"/>
      <c r="J107" s="317"/>
      <c r="K107" s="317"/>
      <c r="L107" s="317"/>
      <c r="M107" s="317"/>
      <c r="N107" s="317"/>
    </row>
    <row r="108" spans="3:14">
      <c r="C108" s="46"/>
      <c r="D108" s="46"/>
      <c r="E108" s="46"/>
      <c r="F108" s="46"/>
      <c r="G108" s="46"/>
      <c r="H108" s="46"/>
      <c r="I108" s="46"/>
      <c r="J108" s="46"/>
      <c r="K108" s="46"/>
      <c r="L108" s="46"/>
      <c r="M108" s="46"/>
      <c r="N108" s="46"/>
    </row>
    <row r="109" spans="3:14">
      <c r="C109" s="46"/>
      <c r="D109" s="46"/>
      <c r="E109" s="46"/>
      <c r="F109" s="46"/>
      <c r="G109" s="46"/>
      <c r="H109" s="46"/>
      <c r="I109" s="46"/>
      <c r="J109" s="46"/>
      <c r="K109" s="46"/>
      <c r="L109" s="46"/>
      <c r="M109" s="46"/>
      <c r="N109" s="46"/>
    </row>
    <row r="110" spans="3:14">
      <c r="C110" s="46"/>
      <c r="D110" s="46"/>
      <c r="E110" s="46"/>
      <c r="F110" s="46"/>
      <c r="G110" s="46"/>
      <c r="H110" s="46"/>
      <c r="I110" s="46"/>
      <c r="J110" s="46"/>
      <c r="K110" s="46"/>
      <c r="L110" s="46"/>
      <c r="M110" s="46"/>
      <c r="N110" s="46"/>
    </row>
    <row r="111" spans="3:14">
      <c r="C111" s="46"/>
      <c r="D111" s="46"/>
      <c r="E111" s="46"/>
      <c r="F111" s="46"/>
      <c r="G111" s="46"/>
      <c r="H111" s="46"/>
      <c r="I111" s="46"/>
      <c r="J111" s="46"/>
      <c r="K111" s="46"/>
      <c r="L111" s="46"/>
      <c r="M111" s="46"/>
      <c r="N111" s="46"/>
    </row>
    <row r="112" spans="3:14">
      <c r="C112" s="46"/>
      <c r="D112" s="46"/>
      <c r="E112" s="46"/>
      <c r="F112" s="46"/>
      <c r="G112" s="46"/>
      <c r="H112" s="46"/>
      <c r="I112" s="46"/>
      <c r="J112" s="46"/>
      <c r="K112" s="46"/>
      <c r="L112" s="46"/>
      <c r="M112" s="46"/>
      <c r="N112" s="46"/>
    </row>
    <row r="113" spans="3:14">
      <c r="C113" s="46"/>
      <c r="D113" s="46"/>
      <c r="E113" s="46"/>
      <c r="F113" s="46"/>
      <c r="G113" s="46"/>
      <c r="H113" s="46"/>
      <c r="I113" s="46"/>
      <c r="J113" s="46"/>
      <c r="K113" s="46"/>
      <c r="L113" s="46"/>
      <c r="M113" s="46"/>
      <c r="N113" s="46"/>
    </row>
    <row r="114" spans="3:14">
      <c r="C114" s="46"/>
      <c r="D114" s="46"/>
      <c r="E114" s="46"/>
      <c r="F114" s="46"/>
      <c r="G114" s="46"/>
      <c r="H114" s="46"/>
      <c r="I114" s="46"/>
      <c r="J114" s="46"/>
      <c r="K114" s="46"/>
      <c r="L114" s="46"/>
      <c r="M114" s="46"/>
      <c r="N114" s="46"/>
    </row>
    <row r="115" spans="3:14">
      <c r="C115" s="46"/>
      <c r="D115" s="46"/>
      <c r="E115" s="46"/>
      <c r="F115" s="46"/>
      <c r="G115" s="46"/>
      <c r="H115" s="46"/>
      <c r="I115" s="46"/>
      <c r="J115" s="46"/>
      <c r="K115" s="46"/>
      <c r="L115" s="46"/>
      <c r="M115" s="46"/>
      <c r="N115" s="46"/>
    </row>
    <row r="116" spans="3:14">
      <c r="C116" s="322"/>
      <c r="D116" s="322"/>
      <c r="E116" s="323"/>
      <c r="F116" s="323"/>
      <c r="G116" s="323"/>
      <c r="H116" s="323"/>
      <c r="I116" s="323"/>
      <c r="J116" s="323"/>
      <c r="K116" s="323"/>
      <c r="L116" s="323"/>
      <c r="M116" s="323"/>
      <c r="N116" s="323"/>
    </row>
    <row r="117" spans="3:14">
      <c r="C117" s="322"/>
      <c r="D117" s="322"/>
      <c r="E117" s="323"/>
      <c r="F117" s="323"/>
      <c r="G117" s="323"/>
      <c r="H117" s="323"/>
      <c r="I117" s="323"/>
      <c r="J117" s="323"/>
      <c r="K117" s="323"/>
      <c r="L117" s="323"/>
      <c r="M117" s="323"/>
      <c r="N117" s="323"/>
    </row>
    <row r="118" spans="3:14">
      <c r="C118" s="318"/>
      <c r="D118" s="318"/>
      <c r="E118" s="321"/>
      <c r="F118" s="321"/>
      <c r="G118" s="321"/>
      <c r="H118" s="321"/>
      <c r="I118" s="321"/>
      <c r="J118" s="321"/>
      <c r="K118" s="321"/>
      <c r="L118" s="321"/>
      <c r="M118" s="321"/>
      <c r="N118" s="321"/>
    </row>
    <row r="119" spans="3:14">
      <c r="C119" s="318"/>
      <c r="D119" s="318"/>
      <c r="E119" s="321"/>
      <c r="F119" s="321"/>
      <c r="G119" s="321"/>
      <c r="H119" s="321"/>
      <c r="I119" s="321"/>
      <c r="J119" s="321"/>
      <c r="K119" s="321"/>
      <c r="L119" s="321"/>
      <c r="M119" s="321"/>
      <c r="N119" s="321"/>
    </row>
    <row r="120" spans="3:14">
      <c r="C120" s="318"/>
      <c r="D120" s="318"/>
      <c r="E120" s="321"/>
      <c r="F120" s="321"/>
      <c r="G120" s="321"/>
      <c r="H120" s="321"/>
      <c r="I120" s="321"/>
      <c r="J120" s="321"/>
      <c r="K120" s="321"/>
      <c r="L120" s="321"/>
      <c r="M120" s="321"/>
      <c r="N120" s="321"/>
    </row>
    <row r="121" spans="3:14">
      <c r="C121" s="318"/>
      <c r="D121" s="318"/>
      <c r="E121" s="319"/>
      <c r="F121" s="320"/>
      <c r="G121" s="320"/>
      <c r="H121" s="320"/>
      <c r="I121" s="321"/>
      <c r="J121" s="321"/>
      <c r="K121" s="321"/>
      <c r="L121" s="321"/>
      <c r="M121" s="321"/>
      <c r="N121" s="321"/>
    </row>
    <row r="124" spans="3:14">
      <c r="C124" s="206"/>
      <c r="D124" s="211" t="s">
        <v>44</v>
      </c>
      <c r="E124" s="212"/>
      <c r="F124" s="212"/>
      <c r="G124" s="212"/>
      <c r="H124" s="212"/>
      <c r="I124" s="212"/>
      <c r="J124" s="212"/>
      <c r="K124" s="212"/>
      <c r="L124" s="20"/>
      <c r="M124" s="20"/>
      <c r="N124" s="21"/>
    </row>
    <row r="125" spans="3:14">
      <c r="C125" s="207"/>
      <c r="D125" s="214"/>
      <c r="E125" s="215"/>
      <c r="F125" s="215"/>
      <c r="G125" s="215"/>
      <c r="H125" s="215"/>
      <c r="I125" s="215"/>
      <c r="J125" s="215"/>
      <c r="K125" s="215"/>
      <c r="N125" s="22"/>
    </row>
    <row r="126" spans="3:14">
      <c r="C126" s="207"/>
      <c r="D126" s="214"/>
      <c r="E126" s="215"/>
      <c r="F126" s="215"/>
      <c r="G126" s="215"/>
      <c r="H126" s="215"/>
      <c r="I126" s="215"/>
      <c r="J126" s="215"/>
      <c r="K126" s="215"/>
      <c r="N126" s="22"/>
    </row>
    <row r="127" spans="3:14">
      <c r="C127" s="207"/>
      <c r="D127" s="289"/>
      <c r="E127" s="290"/>
      <c r="F127" s="290"/>
      <c r="G127" s="290"/>
      <c r="H127" s="290"/>
      <c r="I127" s="290"/>
      <c r="J127" s="290"/>
      <c r="K127" s="290"/>
      <c r="N127" s="22"/>
    </row>
    <row r="128" spans="3:14" ht="16.5">
      <c r="C128" s="223" t="s">
        <v>45</v>
      </c>
      <c r="D128" s="224"/>
      <c r="E128" s="7" t="s">
        <v>46</v>
      </c>
      <c r="F128" s="8"/>
      <c r="G128" s="8"/>
      <c r="H128" s="8"/>
      <c r="I128" s="8"/>
      <c r="J128" s="8"/>
      <c r="K128" s="8"/>
      <c r="L128" s="8"/>
      <c r="M128" s="8"/>
      <c r="N128" s="23"/>
    </row>
    <row r="129" spans="3:14" ht="16.5">
      <c r="C129" s="223" t="s">
        <v>48</v>
      </c>
      <c r="D129" s="224"/>
      <c r="E129" s="7" t="s">
        <v>49</v>
      </c>
      <c r="F129" s="8"/>
      <c r="G129" s="8"/>
      <c r="H129" s="8"/>
      <c r="I129" s="8"/>
      <c r="J129" s="8"/>
      <c r="K129" s="8"/>
      <c r="L129" s="8"/>
      <c r="M129" s="8"/>
      <c r="N129" s="23"/>
    </row>
    <row r="130" spans="3:14" ht="16.5">
      <c r="C130" s="225" t="s">
        <v>50</v>
      </c>
      <c r="D130" s="226"/>
      <c r="E130" s="7" t="s">
        <v>51</v>
      </c>
      <c r="F130" s="8"/>
      <c r="G130" s="8"/>
      <c r="H130" s="8"/>
      <c r="I130" s="8"/>
      <c r="J130" s="8"/>
      <c r="K130" s="8"/>
      <c r="L130" s="8"/>
      <c r="M130" s="8"/>
      <c r="N130" s="23"/>
    </row>
    <row r="131" spans="3:14" ht="16.5">
      <c r="C131" s="223" t="s">
        <v>52</v>
      </c>
      <c r="D131" s="224"/>
      <c r="E131" s="7" t="s">
        <v>53</v>
      </c>
      <c r="F131" s="8"/>
      <c r="G131" s="8"/>
      <c r="H131" s="8"/>
      <c r="I131" s="8"/>
      <c r="J131" s="8"/>
      <c r="K131" s="8"/>
      <c r="L131" s="8"/>
      <c r="M131" s="8"/>
      <c r="N131" s="23"/>
    </row>
    <row r="132" spans="3:14" ht="15.75">
      <c r="C132" s="227" t="s">
        <v>1032</v>
      </c>
      <c r="D132" s="228"/>
      <c r="E132" s="228"/>
      <c r="F132" s="228"/>
      <c r="G132" s="228"/>
      <c r="H132" s="228"/>
      <c r="I132" s="228"/>
      <c r="J132" s="228"/>
      <c r="K132" s="228"/>
      <c r="L132" s="228"/>
      <c r="M132" s="228"/>
      <c r="N132" s="229"/>
    </row>
    <row r="133" spans="3:14" ht="15.75">
      <c r="C133" s="11" t="s">
        <v>55</v>
      </c>
      <c r="E133" s="12"/>
      <c r="F133" s="12"/>
      <c r="G133" s="12"/>
      <c r="H133" s="12"/>
      <c r="I133" s="24" t="s">
        <v>56</v>
      </c>
      <c r="J133" s="25"/>
      <c r="K133" s="12"/>
      <c r="L133" s="12"/>
      <c r="M133" s="12"/>
      <c r="N133" s="26"/>
    </row>
    <row r="134" spans="3:14">
      <c r="C134" s="217"/>
      <c r="D134" s="218"/>
      <c r="E134" s="218"/>
      <c r="F134" s="218"/>
      <c r="G134" s="218"/>
      <c r="H134" s="218"/>
      <c r="I134" s="218"/>
      <c r="J134" s="218"/>
      <c r="K134" s="218"/>
      <c r="L134" s="218"/>
      <c r="M134" s="218"/>
      <c r="N134" s="219"/>
    </row>
    <row r="135" spans="3:14" ht="15.75">
      <c r="C135" s="15" t="s">
        <v>103</v>
      </c>
      <c r="D135" s="355"/>
      <c r="E135" s="356"/>
      <c r="F135" s="356"/>
      <c r="G135" s="356"/>
      <c r="H135" s="357"/>
      <c r="I135" s="368" t="s">
        <v>542</v>
      </c>
      <c r="J135" s="369"/>
      <c r="K135" s="369"/>
      <c r="L135" s="369"/>
      <c r="M135" s="369"/>
      <c r="N135" s="370"/>
    </row>
    <row r="136" spans="3:14">
      <c r="C136" s="329" t="s">
        <v>59</v>
      </c>
      <c r="D136" s="209" t="s">
        <v>60</v>
      </c>
      <c r="E136" s="209" t="s">
        <v>659</v>
      </c>
      <c r="F136" s="209" t="s">
        <v>62</v>
      </c>
      <c r="G136" s="209" t="s">
        <v>63</v>
      </c>
      <c r="H136" s="209" t="s">
        <v>64</v>
      </c>
      <c r="I136" s="209" t="s">
        <v>65</v>
      </c>
      <c r="J136" s="342" t="s">
        <v>66</v>
      </c>
      <c r="K136" s="343"/>
      <c r="L136" s="344"/>
      <c r="M136" s="209" t="s">
        <v>30</v>
      </c>
      <c r="N136" s="328" t="s">
        <v>67</v>
      </c>
    </row>
    <row r="137" spans="3:14" ht="60">
      <c r="C137" s="359"/>
      <c r="D137" s="292"/>
      <c r="E137" s="292"/>
      <c r="F137" s="292"/>
      <c r="G137" s="292"/>
      <c r="H137" s="292"/>
      <c r="I137" s="292"/>
      <c r="J137" s="17" t="s">
        <v>68</v>
      </c>
      <c r="K137" s="28" t="s">
        <v>69</v>
      </c>
      <c r="L137" s="17" t="s">
        <v>70</v>
      </c>
      <c r="M137" s="292"/>
      <c r="N137" s="360"/>
    </row>
    <row r="138" spans="3:14">
      <c r="C138" s="29">
        <v>1</v>
      </c>
      <c r="D138" s="29" t="s">
        <v>71</v>
      </c>
      <c r="E138" s="29">
        <v>63</v>
      </c>
      <c r="F138" s="29" t="s">
        <v>1061</v>
      </c>
      <c r="G138" s="29" t="s">
        <v>1062</v>
      </c>
      <c r="H138" s="29">
        <v>39.6</v>
      </c>
      <c r="I138" s="29" t="s">
        <v>106</v>
      </c>
      <c r="J138" s="29">
        <v>3.1</v>
      </c>
      <c r="K138" s="29">
        <v>1</v>
      </c>
      <c r="L138" s="29">
        <v>4.0999999999999996</v>
      </c>
      <c r="M138" s="29"/>
      <c r="N138" s="29"/>
    </row>
    <row r="139" spans="3:14">
      <c r="C139" s="29">
        <f>1+C138</f>
        <v>2</v>
      </c>
      <c r="D139" s="29" t="s">
        <v>71</v>
      </c>
      <c r="E139" s="29">
        <v>63</v>
      </c>
      <c r="F139" s="29" t="s">
        <v>1061</v>
      </c>
      <c r="G139" s="29" t="s">
        <v>1063</v>
      </c>
      <c r="H139" s="29">
        <v>55.2</v>
      </c>
      <c r="I139" s="29" t="s">
        <v>106</v>
      </c>
      <c r="J139" s="29">
        <v>3.1</v>
      </c>
      <c r="K139" s="29">
        <v>1</v>
      </c>
      <c r="L139" s="29">
        <v>4.0999999999999996</v>
      </c>
      <c r="M139" s="29"/>
      <c r="N139" s="29"/>
    </row>
    <row r="140" spans="3:14">
      <c r="C140" s="29">
        <f t="shared" ref="C140:C169" si="2">1+C139</f>
        <v>3</v>
      </c>
      <c r="D140" s="29" t="s">
        <v>71</v>
      </c>
      <c r="E140" s="29">
        <v>63</v>
      </c>
      <c r="F140" s="29" t="s">
        <v>1061</v>
      </c>
      <c r="G140" s="29" t="s">
        <v>1046</v>
      </c>
      <c r="H140" s="29">
        <v>41.8</v>
      </c>
      <c r="I140" s="29" t="s">
        <v>106</v>
      </c>
      <c r="J140" s="29">
        <v>3.1</v>
      </c>
      <c r="K140" s="29">
        <v>1</v>
      </c>
      <c r="L140" s="29">
        <v>4.0999999999999996</v>
      </c>
      <c r="M140" s="29"/>
      <c r="N140" s="29"/>
    </row>
    <row r="141" spans="3:14">
      <c r="C141" s="29">
        <f t="shared" si="2"/>
        <v>4</v>
      </c>
      <c r="D141" s="29" t="s">
        <v>71</v>
      </c>
      <c r="E141" s="29">
        <v>63</v>
      </c>
      <c r="F141" s="29" t="s">
        <v>765</v>
      </c>
      <c r="G141" s="29" t="s">
        <v>1064</v>
      </c>
      <c r="H141" s="29">
        <v>99.8</v>
      </c>
      <c r="I141" s="29" t="s">
        <v>106</v>
      </c>
      <c r="J141" s="29">
        <v>3.1</v>
      </c>
      <c r="K141" s="29">
        <v>1</v>
      </c>
      <c r="L141" s="29">
        <v>4.0999999999999996</v>
      </c>
      <c r="M141" s="29"/>
      <c r="N141" s="29"/>
    </row>
    <row r="142" spans="3:14">
      <c r="C142" s="29">
        <f t="shared" si="2"/>
        <v>5</v>
      </c>
      <c r="D142" s="29" t="s">
        <v>71</v>
      </c>
      <c r="E142" s="29">
        <v>63</v>
      </c>
      <c r="F142" s="29" t="s">
        <v>788</v>
      </c>
      <c r="G142" s="29" t="s">
        <v>750</v>
      </c>
      <c r="H142" s="29">
        <v>47.2</v>
      </c>
      <c r="I142" s="29" t="s">
        <v>106</v>
      </c>
      <c r="J142" s="29">
        <v>3.1</v>
      </c>
      <c r="K142" s="29">
        <v>1</v>
      </c>
      <c r="L142" s="29">
        <v>4.0999999999999996</v>
      </c>
      <c r="M142" s="29"/>
      <c r="N142" s="29"/>
    </row>
    <row r="143" spans="3:14">
      <c r="C143" s="29">
        <f t="shared" si="2"/>
        <v>6</v>
      </c>
      <c r="D143" s="29" t="s">
        <v>71</v>
      </c>
      <c r="E143" s="29">
        <v>63</v>
      </c>
      <c r="F143" s="29" t="s">
        <v>788</v>
      </c>
      <c r="G143" s="29" t="s">
        <v>750</v>
      </c>
      <c r="H143" s="29">
        <v>14.1</v>
      </c>
      <c r="I143" s="29" t="s">
        <v>106</v>
      </c>
      <c r="J143" s="29">
        <v>3.1</v>
      </c>
      <c r="K143" s="29">
        <v>1</v>
      </c>
      <c r="L143" s="29">
        <v>4.0999999999999996</v>
      </c>
      <c r="M143" s="29"/>
      <c r="N143" s="29"/>
    </row>
    <row r="144" spans="3:14">
      <c r="C144" s="29">
        <f t="shared" si="2"/>
        <v>7</v>
      </c>
      <c r="D144" s="29" t="s">
        <v>71</v>
      </c>
      <c r="E144" s="29">
        <v>63</v>
      </c>
      <c r="F144" s="29" t="s">
        <v>788</v>
      </c>
      <c r="G144" s="29" t="s">
        <v>750</v>
      </c>
      <c r="H144" s="29">
        <v>3.8</v>
      </c>
      <c r="I144" s="29" t="s">
        <v>106</v>
      </c>
      <c r="J144" s="29">
        <v>3.1</v>
      </c>
      <c r="K144" s="29">
        <v>1</v>
      </c>
      <c r="L144" s="29">
        <v>4.0999999999999996</v>
      </c>
      <c r="M144" s="29"/>
      <c r="N144" s="29"/>
    </row>
    <row r="145" spans="3:14">
      <c r="C145" s="29">
        <f t="shared" si="2"/>
        <v>8</v>
      </c>
      <c r="D145" s="29" t="s">
        <v>71</v>
      </c>
      <c r="E145" s="29">
        <v>63</v>
      </c>
      <c r="F145" s="29" t="s">
        <v>788</v>
      </c>
      <c r="G145" s="29" t="s">
        <v>1065</v>
      </c>
      <c r="H145" s="29">
        <v>25.5</v>
      </c>
      <c r="I145" s="29" t="s">
        <v>106</v>
      </c>
      <c r="J145" s="29">
        <v>3.1</v>
      </c>
      <c r="K145" s="29">
        <v>1</v>
      </c>
      <c r="L145" s="29">
        <v>4.0999999999999996</v>
      </c>
      <c r="M145" s="29"/>
      <c r="N145" s="29"/>
    </row>
    <row r="146" spans="3:14">
      <c r="C146" s="29">
        <f t="shared" si="2"/>
        <v>9</v>
      </c>
      <c r="D146" s="29" t="s">
        <v>71</v>
      </c>
      <c r="E146" s="29">
        <v>63</v>
      </c>
      <c r="F146" s="29" t="s">
        <v>1065</v>
      </c>
      <c r="G146" s="29" t="s">
        <v>509</v>
      </c>
      <c r="H146" s="29">
        <v>34.5</v>
      </c>
      <c r="I146" s="29" t="s">
        <v>106</v>
      </c>
      <c r="J146" s="29">
        <v>3.1</v>
      </c>
      <c r="K146" s="29">
        <v>1</v>
      </c>
      <c r="L146" s="29">
        <v>4.0999999999999996</v>
      </c>
      <c r="M146" s="29"/>
      <c r="N146" s="29"/>
    </row>
    <row r="147" spans="3:14">
      <c r="C147" s="29">
        <f t="shared" si="2"/>
        <v>10</v>
      </c>
      <c r="D147" s="29" t="s">
        <v>71</v>
      </c>
      <c r="E147" s="29">
        <v>63</v>
      </c>
      <c r="F147" s="29" t="s">
        <v>1066</v>
      </c>
      <c r="G147" s="29" t="s">
        <v>1065</v>
      </c>
      <c r="H147" s="29">
        <v>201.9</v>
      </c>
      <c r="I147" s="29" t="s">
        <v>106</v>
      </c>
      <c r="J147" s="29">
        <v>3.1</v>
      </c>
      <c r="K147" s="29">
        <v>1</v>
      </c>
      <c r="L147" s="29">
        <v>4.0999999999999996</v>
      </c>
      <c r="M147" s="29"/>
      <c r="N147" s="29"/>
    </row>
    <row r="148" spans="3:14">
      <c r="C148" s="29">
        <f t="shared" si="2"/>
        <v>11</v>
      </c>
      <c r="D148" s="29" t="s">
        <v>71</v>
      </c>
      <c r="E148" s="29">
        <v>63</v>
      </c>
      <c r="F148" s="29" t="s">
        <v>700</v>
      </c>
      <c r="G148" s="29" t="s">
        <v>760</v>
      </c>
      <c r="H148" s="29">
        <v>47.8</v>
      </c>
      <c r="I148" s="29" t="s">
        <v>106</v>
      </c>
      <c r="J148" s="29">
        <v>3.1</v>
      </c>
      <c r="K148" s="29">
        <v>1</v>
      </c>
      <c r="L148" s="29">
        <v>4.0999999999999996</v>
      </c>
      <c r="M148" s="29"/>
      <c r="N148" s="29"/>
    </row>
    <row r="149" spans="3:14">
      <c r="C149" s="29">
        <f t="shared" si="2"/>
        <v>12</v>
      </c>
      <c r="D149" s="29" t="s">
        <v>71</v>
      </c>
      <c r="E149" s="29">
        <v>63</v>
      </c>
      <c r="F149" s="29" t="s">
        <v>760</v>
      </c>
      <c r="G149" s="29" t="s">
        <v>1067</v>
      </c>
      <c r="H149" s="29">
        <v>228.9</v>
      </c>
      <c r="I149" s="29" t="s">
        <v>106</v>
      </c>
      <c r="J149" s="29">
        <v>3.1</v>
      </c>
      <c r="K149" s="29">
        <v>1</v>
      </c>
      <c r="L149" s="29">
        <v>4.0999999999999996</v>
      </c>
      <c r="M149" s="29"/>
      <c r="N149" s="29"/>
    </row>
    <row r="150" spans="3:14">
      <c r="C150" s="29">
        <f t="shared" si="2"/>
        <v>13</v>
      </c>
      <c r="D150" s="29" t="s">
        <v>71</v>
      </c>
      <c r="E150" s="29">
        <v>63</v>
      </c>
      <c r="F150" s="29" t="s">
        <v>1067</v>
      </c>
      <c r="G150" s="29" t="s">
        <v>675</v>
      </c>
      <c r="H150" s="29">
        <v>43.2</v>
      </c>
      <c r="I150" s="29" t="s">
        <v>106</v>
      </c>
      <c r="J150" s="29">
        <v>3.1</v>
      </c>
      <c r="K150" s="29">
        <v>1</v>
      </c>
      <c r="L150" s="29">
        <v>4.0999999999999996</v>
      </c>
      <c r="M150" s="29"/>
      <c r="N150" s="29"/>
    </row>
    <row r="151" spans="3:14">
      <c r="C151" s="29">
        <f t="shared" si="2"/>
        <v>14</v>
      </c>
      <c r="D151" s="29" t="s">
        <v>71</v>
      </c>
      <c r="E151" s="29">
        <v>63</v>
      </c>
      <c r="F151" s="29" t="s">
        <v>1067</v>
      </c>
      <c r="G151" s="29" t="s">
        <v>1068</v>
      </c>
      <c r="H151" s="29">
        <v>163.1</v>
      </c>
      <c r="I151" s="29" t="s">
        <v>106</v>
      </c>
      <c r="J151" s="29">
        <v>3.1</v>
      </c>
      <c r="K151" s="29">
        <v>1</v>
      </c>
      <c r="L151" s="29">
        <v>4.0999999999999996</v>
      </c>
      <c r="M151" s="29"/>
      <c r="N151" s="29"/>
    </row>
    <row r="152" spans="3:14">
      <c r="C152" s="29">
        <f t="shared" si="2"/>
        <v>15</v>
      </c>
      <c r="D152" s="29" t="s">
        <v>71</v>
      </c>
      <c r="E152" s="29">
        <v>63</v>
      </c>
      <c r="F152" s="29" t="s">
        <v>1067</v>
      </c>
      <c r="G152" s="29" t="s">
        <v>1068</v>
      </c>
      <c r="H152" s="29">
        <v>55.9</v>
      </c>
      <c r="I152" s="29" t="s">
        <v>106</v>
      </c>
      <c r="J152" s="29">
        <v>3.1</v>
      </c>
      <c r="K152" s="29">
        <v>1</v>
      </c>
      <c r="L152" s="29">
        <v>4.0999999999999996</v>
      </c>
      <c r="M152" s="29"/>
      <c r="N152" s="29"/>
    </row>
    <row r="153" spans="3:14">
      <c r="C153" s="29">
        <f t="shared" si="2"/>
        <v>16</v>
      </c>
      <c r="D153" s="29" t="s">
        <v>71</v>
      </c>
      <c r="E153" s="29">
        <v>63</v>
      </c>
      <c r="F153" s="29" t="s">
        <v>720</v>
      </c>
      <c r="G153" s="29" t="s">
        <v>808</v>
      </c>
      <c r="H153" s="29">
        <v>94.2</v>
      </c>
      <c r="I153" s="29" t="s">
        <v>106</v>
      </c>
      <c r="J153" s="29">
        <v>3.1</v>
      </c>
      <c r="K153" s="29">
        <v>1</v>
      </c>
      <c r="L153" s="29">
        <v>4.0999999999999996</v>
      </c>
      <c r="M153" s="29"/>
      <c r="N153" s="29"/>
    </row>
    <row r="154" spans="3:14">
      <c r="C154" s="29">
        <f t="shared" si="2"/>
        <v>17</v>
      </c>
      <c r="D154" s="29" t="s">
        <v>71</v>
      </c>
      <c r="E154" s="29">
        <v>63</v>
      </c>
      <c r="F154" s="29" t="s">
        <v>409</v>
      </c>
      <c r="G154" s="29" t="s">
        <v>123</v>
      </c>
      <c r="H154" s="29">
        <v>381.6</v>
      </c>
      <c r="I154" s="29" t="s">
        <v>106</v>
      </c>
      <c r="J154" s="29">
        <v>3.1</v>
      </c>
      <c r="K154" s="29">
        <v>1</v>
      </c>
      <c r="L154" s="29">
        <v>4.0999999999999996</v>
      </c>
      <c r="M154" s="29"/>
      <c r="N154" s="29"/>
    </row>
    <row r="155" spans="3:14">
      <c r="C155" s="29">
        <f t="shared" si="2"/>
        <v>18</v>
      </c>
      <c r="D155" s="29" t="s">
        <v>71</v>
      </c>
      <c r="E155" s="29">
        <v>63</v>
      </c>
      <c r="F155" s="29" t="s">
        <v>1066</v>
      </c>
      <c r="G155" s="29" t="s">
        <v>1069</v>
      </c>
      <c r="H155" s="29">
        <v>234.6</v>
      </c>
      <c r="I155" s="29" t="s">
        <v>106</v>
      </c>
      <c r="J155" s="29">
        <v>3.1</v>
      </c>
      <c r="K155" s="29">
        <v>1</v>
      </c>
      <c r="L155" s="29">
        <v>4.0999999999999996</v>
      </c>
      <c r="M155" s="29"/>
      <c r="N155" s="29"/>
    </row>
    <row r="156" spans="3:14">
      <c r="C156" s="29">
        <f t="shared" si="2"/>
        <v>19</v>
      </c>
      <c r="D156" s="29" t="s">
        <v>71</v>
      </c>
      <c r="E156" s="29">
        <v>63</v>
      </c>
      <c r="F156" s="29" t="s">
        <v>1069</v>
      </c>
      <c r="G156" s="29" t="s">
        <v>1070</v>
      </c>
      <c r="H156" s="29">
        <v>112.7</v>
      </c>
      <c r="I156" s="29" t="s">
        <v>106</v>
      </c>
      <c r="J156" s="29">
        <v>3.1</v>
      </c>
      <c r="K156" s="29">
        <v>1</v>
      </c>
      <c r="L156" s="29">
        <v>4.0999999999999996</v>
      </c>
      <c r="M156" s="29"/>
      <c r="N156" s="29"/>
    </row>
    <row r="157" spans="3:14">
      <c r="C157" s="29">
        <f t="shared" si="2"/>
        <v>20</v>
      </c>
      <c r="D157" s="29" t="s">
        <v>71</v>
      </c>
      <c r="E157" s="29">
        <v>63</v>
      </c>
      <c r="F157" s="29" t="s">
        <v>1070</v>
      </c>
      <c r="G157" s="29" t="s">
        <v>1071</v>
      </c>
      <c r="H157" s="29">
        <v>53.2</v>
      </c>
      <c r="I157" s="29" t="s">
        <v>106</v>
      </c>
      <c r="J157" s="29">
        <v>3.1</v>
      </c>
      <c r="K157" s="29">
        <v>1</v>
      </c>
      <c r="L157" s="29">
        <v>4.0999999999999996</v>
      </c>
      <c r="M157" s="29"/>
      <c r="N157" s="29"/>
    </row>
    <row r="158" spans="3:14">
      <c r="C158" s="29">
        <f t="shared" si="2"/>
        <v>21</v>
      </c>
      <c r="D158" s="29" t="s">
        <v>71</v>
      </c>
      <c r="E158" s="29">
        <v>63</v>
      </c>
      <c r="F158" s="29" t="s">
        <v>1071</v>
      </c>
      <c r="G158" s="29" t="s">
        <v>1072</v>
      </c>
      <c r="H158" s="29">
        <v>42.3</v>
      </c>
      <c r="I158" s="29" t="s">
        <v>106</v>
      </c>
      <c r="J158" s="29">
        <v>3.1</v>
      </c>
      <c r="K158" s="29">
        <v>1</v>
      </c>
      <c r="L158" s="29">
        <v>4.0999999999999996</v>
      </c>
      <c r="M158" s="29"/>
      <c r="N158" s="29"/>
    </row>
    <row r="159" spans="3:14">
      <c r="C159" s="29">
        <f t="shared" si="2"/>
        <v>22</v>
      </c>
      <c r="D159" s="29" t="s">
        <v>71</v>
      </c>
      <c r="E159" s="29">
        <v>63</v>
      </c>
      <c r="F159" s="29" t="s">
        <v>1072</v>
      </c>
      <c r="G159" s="29" t="s">
        <v>829</v>
      </c>
      <c r="H159" s="29">
        <v>25.4</v>
      </c>
      <c r="I159" s="29" t="s">
        <v>106</v>
      </c>
      <c r="J159" s="29">
        <v>3.1</v>
      </c>
      <c r="K159" s="29">
        <v>1</v>
      </c>
      <c r="L159" s="29">
        <v>4.0999999999999996</v>
      </c>
      <c r="M159" s="29"/>
      <c r="N159" s="29"/>
    </row>
    <row r="160" spans="3:14">
      <c r="C160" s="29">
        <f t="shared" si="2"/>
        <v>23</v>
      </c>
      <c r="D160" s="29" t="s">
        <v>71</v>
      </c>
      <c r="E160" s="29">
        <v>63</v>
      </c>
      <c r="F160" s="29" t="s">
        <v>1072</v>
      </c>
      <c r="G160" s="29" t="s">
        <v>713</v>
      </c>
      <c r="H160" s="29">
        <v>27.6</v>
      </c>
      <c r="I160" s="29" t="s">
        <v>106</v>
      </c>
      <c r="J160" s="29">
        <v>3.1</v>
      </c>
      <c r="K160" s="29">
        <v>1</v>
      </c>
      <c r="L160" s="29">
        <v>4.0999999999999996</v>
      </c>
      <c r="M160" s="29"/>
      <c r="N160" s="29"/>
    </row>
    <row r="161" spans="3:14">
      <c r="C161" s="29">
        <f t="shared" si="2"/>
        <v>24</v>
      </c>
      <c r="D161" s="29" t="s">
        <v>71</v>
      </c>
      <c r="E161" s="29">
        <v>63</v>
      </c>
      <c r="F161" s="29" t="s">
        <v>1071</v>
      </c>
      <c r="G161" s="29" t="s">
        <v>1073</v>
      </c>
      <c r="H161" s="29">
        <v>21.8</v>
      </c>
      <c r="I161" s="29" t="s">
        <v>106</v>
      </c>
      <c r="J161" s="29">
        <v>3.1</v>
      </c>
      <c r="K161" s="29">
        <v>1</v>
      </c>
      <c r="L161" s="29">
        <v>4.0999999999999996</v>
      </c>
      <c r="M161" s="29"/>
      <c r="N161" s="29"/>
    </row>
    <row r="162" spans="3:14">
      <c r="C162" s="29">
        <f t="shared" si="2"/>
        <v>25</v>
      </c>
      <c r="D162" s="29" t="s">
        <v>71</v>
      </c>
      <c r="E162" s="29">
        <v>63</v>
      </c>
      <c r="F162" s="29" t="s">
        <v>1070</v>
      </c>
      <c r="G162" s="29" t="s">
        <v>1074</v>
      </c>
      <c r="H162" s="29">
        <v>72.900000000000006</v>
      </c>
      <c r="I162" s="29" t="s">
        <v>106</v>
      </c>
      <c r="J162" s="29">
        <v>3.1</v>
      </c>
      <c r="K162" s="29">
        <v>1</v>
      </c>
      <c r="L162" s="29">
        <v>4.0999999999999996</v>
      </c>
      <c r="M162" s="29"/>
      <c r="N162" s="29"/>
    </row>
    <row r="163" spans="3:14">
      <c r="C163" s="29">
        <f t="shared" si="2"/>
        <v>26</v>
      </c>
      <c r="D163" s="29" t="s">
        <v>71</v>
      </c>
      <c r="E163" s="29">
        <v>63</v>
      </c>
      <c r="F163" s="29" t="s">
        <v>1074</v>
      </c>
      <c r="G163" s="29" t="s">
        <v>1042</v>
      </c>
      <c r="H163" s="29">
        <v>44.2</v>
      </c>
      <c r="I163" s="29" t="s">
        <v>106</v>
      </c>
      <c r="J163" s="29">
        <v>3.1</v>
      </c>
      <c r="K163" s="29">
        <v>1</v>
      </c>
      <c r="L163" s="29">
        <v>4.0999999999999996</v>
      </c>
      <c r="M163" s="29"/>
      <c r="N163" s="29"/>
    </row>
    <row r="164" spans="3:14">
      <c r="C164" s="29">
        <f t="shared" si="2"/>
        <v>27</v>
      </c>
      <c r="D164" s="29" t="s">
        <v>71</v>
      </c>
      <c r="E164" s="29">
        <v>63</v>
      </c>
      <c r="F164" s="29" t="s">
        <v>1074</v>
      </c>
      <c r="G164" s="29" t="s">
        <v>1043</v>
      </c>
      <c r="H164" s="29">
        <v>44.8</v>
      </c>
      <c r="I164" s="29" t="s">
        <v>106</v>
      </c>
      <c r="J164" s="29">
        <v>3.1</v>
      </c>
      <c r="K164" s="29">
        <v>1</v>
      </c>
      <c r="L164" s="29">
        <v>4.0999999999999996</v>
      </c>
      <c r="M164" s="29"/>
      <c r="N164" s="29"/>
    </row>
    <row r="165" spans="3:14">
      <c r="C165" s="29">
        <f t="shared" si="2"/>
        <v>28</v>
      </c>
      <c r="D165" s="29" t="s">
        <v>71</v>
      </c>
      <c r="E165" s="29">
        <v>75</v>
      </c>
      <c r="F165" s="29" t="s">
        <v>509</v>
      </c>
      <c r="G165" s="29" t="s">
        <v>1075</v>
      </c>
      <c r="H165" s="29">
        <v>145.80000000000001</v>
      </c>
      <c r="I165" s="29" t="s">
        <v>106</v>
      </c>
      <c r="J165" s="29">
        <v>3.1</v>
      </c>
      <c r="K165" s="29">
        <v>1</v>
      </c>
      <c r="L165" s="29">
        <v>4.0999999999999996</v>
      </c>
      <c r="M165" s="29"/>
      <c r="N165" s="29"/>
    </row>
    <row r="166" spans="3:14">
      <c r="C166" s="29">
        <f t="shared" si="2"/>
        <v>29</v>
      </c>
      <c r="D166" s="29" t="s">
        <v>71</v>
      </c>
      <c r="E166" s="29">
        <v>75</v>
      </c>
      <c r="F166" s="29" t="s">
        <v>1076</v>
      </c>
      <c r="G166" s="29" t="s">
        <v>1077</v>
      </c>
      <c r="H166" s="29">
        <v>155.69999999999999</v>
      </c>
      <c r="I166" s="29" t="s">
        <v>106</v>
      </c>
      <c r="J166" s="29">
        <v>3.1</v>
      </c>
      <c r="K166" s="29">
        <v>1</v>
      </c>
      <c r="L166" s="29">
        <v>4.0999999999999996</v>
      </c>
      <c r="M166" s="29"/>
      <c r="N166" s="29"/>
    </row>
    <row r="167" spans="3:14">
      <c r="C167" s="29">
        <f t="shared" si="2"/>
        <v>30</v>
      </c>
      <c r="D167" s="29" t="s">
        <v>71</v>
      </c>
      <c r="E167" s="29">
        <v>75</v>
      </c>
      <c r="F167" s="29" t="s">
        <v>1077</v>
      </c>
      <c r="G167" s="29" t="s">
        <v>1066</v>
      </c>
      <c r="H167" s="29">
        <v>259.60000000000002</v>
      </c>
      <c r="I167" s="29" t="s">
        <v>106</v>
      </c>
      <c r="J167" s="29">
        <v>3.1</v>
      </c>
      <c r="K167" s="29">
        <v>1</v>
      </c>
      <c r="L167" s="29">
        <v>4.0999999999999996</v>
      </c>
      <c r="M167" s="29"/>
      <c r="N167" s="29"/>
    </row>
    <row r="168" spans="3:14">
      <c r="C168" s="29">
        <f t="shared" si="2"/>
        <v>31</v>
      </c>
      <c r="D168" s="29" t="s">
        <v>71</v>
      </c>
      <c r="E168" s="29">
        <v>75</v>
      </c>
      <c r="F168" s="29" t="s">
        <v>1060</v>
      </c>
      <c r="G168" s="29" t="s">
        <v>700</v>
      </c>
      <c r="H168" s="29">
        <v>81.2</v>
      </c>
      <c r="I168" s="29" t="s">
        <v>106</v>
      </c>
      <c r="J168" s="29">
        <v>3.1</v>
      </c>
      <c r="K168" s="29">
        <v>1</v>
      </c>
      <c r="L168" s="29">
        <v>4.0999999999999996</v>
      </c>
      <c r="M168" s="29"/>
      <c r="N168" s="29"/>
    </row>
    <row r="169" spans="3:14">
      <c r="C169" s="29">
        <f t="shared" si="2"/>
        <v>32</v>
      </c>
      <c r="D169" s="29" t="s">
        <v>71</v>
      </c>
      <c r="E169" s="29">
        <v>90</v>
      </c>
      <c r="F169" s="29" t="s">
        <v>1039</v>
      </c>
      <c r="G169" s="29" t="s">
        <v>1047</v>
      </c>
      <c r="H169" s="29">
        <v>83.6</v>
      </c>
      <c r="I169" s="29" t="s">
        <v>106</v>
      </c>
      <c r="J169" s="29">
        <v>3.1</v>
      </c>
      <c r="K169" s="29">
        <v>1</v>
      </c>
      <c r="L169" s="29">
        <v>4.0999999999999996</v>
      </c>
      <c r="M169" s="29"/>
      <c r="N169" s="29"/>
    </row>
    <row r="170" spans="3:14">
      <c r="C170" s="29"/>
      <c r="D170" s="29"/>
      <c r="E170" s="29"/>
      <c r="F170" s="29"/>
      <c r="G170" s="29"/>
      <c r="H170" s="29"/>
      <c r="I170" s="29"/>
      <c r="J170" s="29"/>
      <c r="K170" s="29"/>
      <c r="L170" s="29"/>
      <c r="M170" s="29"/>
      <c r="N170" s="29"/>
    </row>
    <row r="171" spans="3:14">
      <c r="C171" s="324"/>
      <c r="D171" s="324"/>
      <c r="E171" s="325" t="s">
        <v>86</v>
      </c>
      <c r="F171" s="325"/>
      <c r="G171" s="325"/>
      <c r="H171" s="325"/>
      <c r="I171" s="325" t="s">
        <v>87</v>
      </c>
      <c r="J171" s="325"/>
      <c r="K171" s="325"/>
      <c r="L171" s="325" t="s">
        <v>39</v>
      </c>
      <c r="M171" s="325"/>
      <c r="N171" s="325"/>
    </row>
    <row r="172" spans="3:14">
      <c r="C172" s="295" t="s">
        <v>40</v>
      </c>
      <c r="D172" s="295"/>
      <c r="E172" s="317"/>
      <c r="F172" s="317"/>
      <c r="G172" s="317"/>
      <c r="H172" s="317"/>
      <c r="I172" s="317"/>
      <c r="J172" s="317"/>
      <c r="K172" s="317"/>
      <c r="L172" s="317"/>
      <c r="M172" s="317"/>
      <c r="N172" s="317"/>
    </row>
    <row r="173" spans="3:14">
      <c r="C173" s="295" t="s">
        <v>41</v>
      </c>
      <c r="D173" s="295"/>
      <c r="E173" s="317"/>
      <c r="F173" s="317"/>
      <c r="G173" s="317"/>
      <c r="H173" s="317"/>
      <c r="I173" s="317"/>
      <c r="J173" s="317"/>
      <c r="K173" s="317"/>
      <c r="L173" s="317"/>
      <c r="M173" s="317"/>
      <c r="N173" s="317"/>
    </row>
    <row r="174" spans="3:14">
      <c r="C174" s="295" t="s">
        <v>42</v>
      </c>
      <c r="D174" s="295"/>
      <c r="E174" s="317"/>
      <c r="F174" s="317"/>
      <c r="G174" s="317"/>
      <c r="H174" s="317"/>
      <c r="I174" s="317"/>
      <c r="J174" s="317"/>
      <c r="K174" s="317"/>
      <c r="L174" s="317"/>
      <c r="M174" s="317"/>
      <c r="N174" s="317"/>
    </row>
    <row r="175" spans="3:14">
      <c r="C175" s="295" t="s">
        <v>43</v>
      </c>
      <c r="D175" s="295"/>
      <c r="E175" s="315"/>
      <c r="F175" s="316"/>
      <c r="G175" s="316"/>
      <c r="H175" s="316"/>
      <c r="I175" s="317"/>
      <c r="J175" s="317"/>
      <c r="K175" s="317"/>
      <c r="L175" s="317"/>
      <c r="M175" s="317"/>
      <c r="N175" s="317"/>
    </row>
    <row r="176" spans="3:14">
      <c r="C176" s="46"/>
      <c r="D176" s="46"/>
      <c r="E176" s="46"/>
      <c r="F176" s="46"/>
      <c r="G176" s="46"/>
      <c r="H176" s="46"/>
      <c r="I176" s="46"/>
      <c r="J176" s="46"/>
      <c r="K176" s="46"/>
      <c r="L176" s="46"/>
      <c r="M176" s="46"/>
      <c r="N176" s="46"/>
    </row>
    <row r="177" spans="3:14">
      <c r="C177" s="46"/>
      <c r="D177" s="46"/>
      <c r="E177" s="46"/>
      <c r="F177" s="46"/>
      <c r="G177" s="46"/>
      <c r="H177" s="46"/>
      <c r="I177" s="46"/>
      <c r="J177" s="46"/>
      <c r="K177" s="46"/>
      <c r="L177" s="46"/>
      <c r="M177" s="46"/>
      <c r="N177" s="46"/>
    </row>
    <row r="178" spans="3:14">
      <c r="C178" s="46"/>
      <c r="D178" s="46"/>
      <c r="E178" s="46"/>
      <c r="F178" s="46"/>
      <c r="G178" s="46"/>
      <c r="H178" s="46"/>
      <c r="I178" s="46"/>
      <c r="J178" s="46"/>
      <c r="K178" s="46"/>
      <c r="L178" s="46"/>
      <c r="M178" s="46"/>
      <c r="N178" s="46"/>
    </row>
    <row r="179" spans="3:14">
      <c r="C179" s="46"/>
      <c r="D179" s="46"/>
      <c r="E179" s="46"/>
      <c r="F179" s="46"/>
      <c r="G179" s="46"/>
      <c r="H179" s="46"/>
      <c r="I179" s="46"/>
      <c r="J179" s="46"/>
      <c r="K179" s="46"/>
      <c r="L179" s="46"/>
      <c r="M179" s="46"/>
      <c r="N179" s="46"/>
    </row>
    <row r="180" spans="3:14">
      <c r="C180" s="46"/>
      <c r="D180" s="46"/>
      <c r="E180" s="46"/>
      <c r="F180" s="46"/>
      <c r="G180" s="46"/>
      <c r="H180" s="46"/>
      <c r="I180" s="46"/>
      <c r="J180" s="46"/>
      <c r="K180" s="46"/>
      <c r="L180" s="46"/>
      <c r="M180" s="46"/>
      <c r="N180" s="46"/>
    </row>
    <row r="181" spans="3:14">
      <c r="C181" s="46"/>
      <c r="D181" s="46"/>
      <c r="E181" s="46"/>
      <c r="F181" s="46"/>
      <c r="G181" s="46"/>
      <c r="H181" s="46"/>
      <c r="I181" s="46"/>
      <c r="J181" s="46"/>
      <c r="K181" s="46"/>
      <c r="L181" s="46"/>
      <c r="M181" s="46"/>
      <c r="N181" s="46"/>
    </row>
    <row r="182" spans="3:14">
      <c r="C182" s="46"/>
      <c r="D182" s="46"/>
      <c r="E182" s="46"/>
      <c r="F182" s="46"/>
      <c r="G182" s="46"/>
      <c r="H182" s="46"/>
      <c r="I182" s="46"/>
      <c r="J182" s="46"/>
      <c r="K182" s="46"/>
      <c r="L182" s="46"/>
      <c r="M182" s="46"/>
      <c r="N182" s="46"/>
    </row>
    <row r="183" spans="3:14">
      <c r="C183" s="46"/>
      <c r="D183" s="46"/>
      <c r="E183" s="46"/>
      <c r="F183" s="46"/>
      <c r="G183" s="46"/>
      <c r="H183" s="46"/>
      <c r="I183" s="46"/>
      <c r="J183" s="46"/>
      <c r="K183" s="46"/>
      <c r="L183" s="46"/>
      <c r="M183" s="46"/>
      <c r="N183" s="46"/>
    </row>
    <row r="184" spans="3:14">
      <c r="C184" s="46"/>
      <c r="D184" s="46"/>
      <c r="E184" s="46"/>
      <c r="F184" s="46"/>
      <c r="G184" s="46"/>
      <c r="H184" s="46"/>
      <c r="I184" s="46"/>
      <c r="J184" s="46"/>
      <c r="K184" s="46"/>
      <c r="L184" s="46"/>
      <c r="M184" s="46"/>
      <c r="N184" s="46"/>
    </row>
    <row r="185" spans="3:14">
      <c r="C185" s="46"/>
      <c r="D185" s="46"/>
      <c r="E185" s="46"/>
      <c r="F185" s="46"/>
      <c r="G185" s="46"/>
      <c r="H185" s="46"/>
      <c r="I185" s="46"/>
      <c r="J185" s="46"/>
      <c r="K185" s="46"/>
      <c r="L185" s="46"/>
      <c r="M185" s="46"/>
      <c r="N185" s="46"/>
    </row>
    <row r="186" spans="3:14">
      <c r="C186" s="46"/>
      <c r="D186" s="46"/>
      <c r="E186" s="46"/>
      <c r="F186" s="46"/>
      <c r="G186" s="46"/>
      <c r="H186" s="46"/>
      <c r="I186" s="46"/>
      <c r="J186" s="46"/>
      <c r="K186" s="46"/>
      <c r="L186" s="46"/>
      <c r="M186" s="46"/>
      <c r="N186" s="46"/>
    </row>
    <row r="187" spans="3:14">
      <c r="C187" s="46"/>
      <c r="D187" s="46"/>
      <c r="E187" s="46"/>
      <c r="F187" s="46"/>
      <c r="G187" s="46"/>
      <c r="H187" s="46"/>
      <c r="I187" s="46"/>
      <c r="J187" s="46"/>
      <c r="K187" s="46"/>
      <c r="L187" s="46"/>
      <c r="M187" s="46"/>
      <c r="N187" s="46"/>
    </row>
    <row r="188" spans="3:14">
      <c r="C188" s="46"/>
      <c r="D188" s="46"/>
      <c r="E188" s="46"/>
      <c r="F188" s="46"/>
      <c r="G188" s="46"/>
      <c r="H188" s="46"/>
      <c r="I188" s="46"/>
      <c r="J188" s="46"/>
      <c r="K188" s="46"/>
      <c r="L188" s="46"/>
      <c r="M188" s="46"/>
      <c r="N188" s="46"/>
    </row>
    <row r="189" spans="3:14">
      <c r="C189" s="46"/>
      <c r="D189" s="46"/>
      <c r="E189" s="46"/>
      <c r="F189" s="46"/>
      <c r="G189" s="46"/>
      <c r="H189" s="46"/>
      <c r="I189" s="46"/>
      <c r="J189" s="46"/>
      <c r="K189" s="46"/>
      <c r="L189" s="46"/>
      <c r="M189" s="46"/>
      <c r="N189" s="46"/>
    </row>
    <row r="190" spans="3:14">
      <c r="C190" s="322"/>
      <c r="D190" s="322"/>
      <c r="E190" s="323"/>
      <c r="F190" s="323"/>
      <c r="G190" s="323"/>
      <c r="H190" s="323"/>
      <c r="I190" s="323"/>
      <c r="J190" s="323"/>
      <c r="K190" s="323"/>
      <c r="L190" s="323"/>
      <c r="M190" s="323"/>
      <c r="N190" s="323"/>
    </row>
    <row r="191" spans="3:14">
      <c r="C191" s="322"/>
      <c r="D191" s="322"/>
      <c r="E191" s="323"/>
      <c r="F191" s="323"/>
      <c r="G191" s="323"/>
      <c r="H191" s="323"/>
      <c r="I191" s="323"/>
      <c r="J191" s="323"/>
      <c r="K191" s="323"/>
      <c r="L191" s="323"/>
      <c r="M191" s="323"/>
      <c r="N191" s="323"/>
    </row>
    <row r="192" spans="3:14">
      <c r="C192" s="318"/>
      <c r="D192" s="318"/>
      <c r="E192" s="321"/>
      <c r="F192" s="321"/>
      <c r="G192" s="321"/>
      <c r="H192" s="321"/>
      <c r="I192" s="321"/>
      <c r="J192" s="321"/>
      <c r="K192" s="321"/>
      <c r="L192" s="321"/>
      <c r="M192" s="321"/>
      <c r="N192" s="321"/>
    </row>
    <row r="193" spans="3:14">
      <c r="C193" s="318"/>
      <c r="D193" s="318"/>
      <c r="E193" s="321"/>
      <c r="F193" s="321"/>
      <c r="G193" s="321"/>
      <c r="H193" s="321"/>
      <c r="I193" s="321"/>
      <c r="J193" s="321"/>
      <c r="K193" s="321"/>
      <c r="L193" s="321"/>
      <c r="M193" s="321"/>
      <c r="N193" s="321"/>
    </row>
    <row r="194" spans="3:14">
      <c r="C194" s="318"/>
      <c r="D194" s="318"/>
      <c r="E194" s="321"/>
      <c r="F194" s="321"/>
      <c r="G194" s="321"/>
      <c r="H194" s="321"/>
      <c r="I194" s="321"/>
      <c r="J194" s="321"/>
      <c r="K194" s="321"/>
      <c r="L194" s="321"/>
      <c r="M194" s="321"/>
      <c r="N194" s="321"/>
    </row>
    <row r="195" spans="3:14">
      <c r="C195" s="318"/>
      <c r="D195" s="318"/>
      <c r="E195" s="319"/>
      <c r="F195" s="320"/>
      <c r="G195" s="320"/>
      <c r="H195" s="320"/>
      <c r="I195" s="321"/>
      <c r="J195" s="321"/>
      <c r="K195" s="321"/>
      <c r="L195" s="321"/>
      <c r="M195" s="321"/>
      <c r="N195" s="321"/>
    </row>
    <row r="198" spans="3:14">
      <c r="C198" s="206"/>
      <c r="D198" s="211" t="s">
        <v>44</v>
      </c>
      <c r="E198" s="212"/>
      <c r="F198" s="212"/>
      <c r="G198" s="212"/>
      <c r="H198" s="212"/>
      <c r="I198" s="212"/>
      <c r="J198" s="212"/>
      <c r="K198" s="212"/>
      <c r="L198" s="20"/>
      <c r="M198" s="20"/>
      <c r="N198" s="21"/>
    </row>
    <row r="199" spans="3:14">
      <c r="C199" s="207"/>
      <c r="D199" s="214"/>
      <c r="E199" s="215"/>
      <c r="F199" s="215"/>
      <c r="G199" s="215"/>
      <c r="H199" s="215"/>
      <c r="I199" s="215"/>
      <c r="J199" s="215"/>
      <c r="K199" s="215"/>
      <c r="N199" s="22"/>
    </row>
    <row r="200" spans="3:14">
      <c r="C200" s="207"/>
      <c r="D200" s="214"/>
      <c r="E200" s="215"/>
      <c r="F200" s="215"/>
      <c r="G200" s="215"/>
      <c r="H200" s="215"/>
      <c r="I200" s="215"/>
      <c r="J200" s="215"/>
      <c r="K200" s="215"/>
      <c r="N200" s="22"/>
    </row>
    <row r="201" spans="3:14">
      <c r="C201" s="207"/>
      <c r="D201" s="289"/>
      <c r="E201" s="290"/>
      <c r="F201" s="290"/>
      <c r="G201" s="290"/>
      <c r="H201" s="290"/>
      <c r="I201" s="290"/>
      <c r="J201" s="290"/>
      <c r="K201" s="290"/>
      <c r="N201" s="22"/>
    </row>
    <row r="202" spans="3:14" ht="16.5">
      <c r="C202" s="223" t="s">
        <v>45</v>
      </c>
      <c r="D202" s="224"/>
      <c r="E202" s="7" t="s">
        <v>46</v>
      </c>
      <c r="F202" s="8"/>
      <c r="G202" s="8"/>
      <c r="H202" s="8"/>
      <c r="I202" s="8"/>
      <c r="J202" s="8"/>
      <c r="K202" s="8"/>
      <c r="L202" s="8"/>
      <c r="M202" s="8"/>
      <c r="N202" s="23"/>
    </row>
    <row r="203" spans="3:14" ht="16.5">
      <c r="C203" s="223" t="s">
        <v>48</v>
      </c>
      <c r="D203" s="224"/>
      <c r="E203" s="7" t="s">
        <v>49</v>
      </c>
      <c r="F203" s="8"/>
      <c r="G203" s="8"/>
      <c r="H203" s="8"/>
      <c r="I203" s="8"/>
      <c r="J203" s="8"/>
      <c r="K203" s="8"/>
      <c r="L203" s="8"/>
      <c r="M203" s="8"/>
      <c r="N203" s="23"/>
    </row>
    <row r="204" spans="3:14" ht="16.5">
      <c r="C204" s="225" t="s">
        <v>50</v>
      </c>
      <c r="D204" s="226"/>
      <c r="E204" s="7" t="s">
        <v>51</v>
      </c>
      <c r="F204" s="8"/>
      <c r="G204" s="8"/>
      <c r="H204" s="8"/>
      <c r="I204" s="8"/>
      <c r="J204" s="8"/>
      <c r="K204" s="8"/>
      <c r="L204" s="8"/>
      <c r="M204" s="8"/>
      <c r="N204" s="23"/>
    </row>
    <row r="205" spans="3:14" ht="16.5">
      <c r="C205" s="223" t="s">
        <v>52</v>
      </c>
      <c r="D205" s="224"/>
      <c r="E205" s="7" t="s">
        <v>53</v>
      </c>
      <c r="F205" s="8"/>
      <c r="G205" s="8"/>
      <c r="H205" s="8"/>
      <c r="I205" s="8"/>
      <c r="J205" s="8"/>
      <c r="K205" s="8"/>
      <c r="L205" s="8"/>
      <c r="M205" s="8"/>
      <c r="N205" s="23"/>
    </row>
    <row r="206" spans="3:14" ht="15.75">
      <c r="C206" s="227" t="s">
        <v>1032</v>
      </c>
      <c r="D206" s="228"/>
      <c r="E206" s="228"/>
      <c r="F206" s="228"/>
      <c r="G206" s="228"/>
      <c r="H206" s="228"/>
      <c r="I206" s="228"/>
      <c r="J206" s="228"/>
      <c r="K206" s="228"/>
      <c r="L206" s="228"/>
      <c r="M206" s="228"/>
      <c r="N206" s="229"/>
    </row>
    <row r="207" spans="3:14" ht="15.75">
      <c r="C207" s="11" t="s">
        <v>55</v>
      </c>
      <c r="E207" s="12"/>
      <c r="F207" s="12"/>
      <c r="G207" s="12"/>
      <c r="H207" s="12"/>
      <c r="I207" s="24" t="s">
        <v>56</v>
      </c>
      <c r="J207" s="25"/>
      <c r="K207" s="12"/>
      <c r="L207" s="12"/>
      <c r="M207" s="12"/>
      <c r="N207" s="26"/>
    </row>
    <row r="208" spans="3:14">
      <c r="C208" s="217"/>
      <c r="D208" s="218"/>
      <c r="E208" s="218"/>
      <c r="F208" s="218"/>
      <c r="G208" s="218"/>
      <c r="H208" s="218"/>
      <c r="I208" s="218"/>
      <c r="J208" s="218"/>
      <c r="K208" s="218"/>
      <c r="L208" s="218"/>
      <c r="M208" s="218"/>
      <c r="N208" s="219"/>
    </row>
    <row r="209" spans="3:14" ht="15.75">
      <c r="C209" s="15" t="s">
        <v>103</v>
      </c>
      <c r="D209" s="355"/>
      <c r="E209" s="356"/>
      <c r="F209" s="356"/>
      <c r="G209" s="356"/>
      <c r="H209" s="357"/>
      <c r="I209" s="368" t="s">
        <v>542</v>
      </c>
      <c r="J209" s="369"/>
      <c r="K209" s="369"/>
      <c r="L209" s="369"/>
      <c r="M209" s="369"/>
      <c r="N209" s="370"/>
    </row>
    <row r="210" spans="3:14">
      <c r="C210" s="329" t="s">
        <v>59</v>
      </c>
      <c r="D210" s="209" t="s">
        <v>60</v>
      </c>
      <c r="E210" s="209" t="s">
        <v>659</v>
      </c>
      <c r="F210" s="209" t="s">
        <v>62</v>
      </c>
      <c r="G210" s="209" t="s">
        <v>63</v>
      </c>
      <c r="H210" s="209" t="s">
        <v>64</v>
      </c>
      <c r="I210" s="209" t="s">
        <v>65</v>
      </c>
      <c r="J210" s="342" t="s">
        <v>66</v>
      </c>
      <c r="K210" s="343"/>
      <c r="L210" s="344"/>
      <c r="M210" s="209" t="s">
        <v>30</v>
      </c>
      <c r="N210" s="328" t="s">
        <v>67</v>
      </c>
    </row>
    <row r="211" spans="3:14" ht="60">
      <c r="C211" s="359"/>
      <c r="D211" s="292"/>
      <c r="E211" s="292"/>
      <c r="F211" s="292"/>
      <c r="G211" s="292"/>
      <c r="H211" s="292"/>
      <c r="I211" s="292"/>
      <c r="J211" s="17" t="s">
        <v>68</v>
      </c>
      <c r="K211" s="28" t="s">
        <v>69</v>
      </c>
      <c r="L211" s="17" t="s">
        <v>70</v>
      </c>
      <c r="M211" s="292"/>
      <c r="N211" s="360"/>
    </row>
    <row r="212" spans="3:14">
      <c r="C212" s="29">
        <v>1</v>
      </c>
      <c r="D212" s="29" t="s">
        <v>71</v>
      </c>
      <c r="E212" s="29">
        <v>63</v>
      </c>
      <c r="F212" s="29" t="s">
        <v>1047</v>
      </c>
      <c r="G212" s="29" t="s">
        <v>1078</v>
      </c>
      <c r="H212" s="29">
        <v>3</v>
      </c>
      <c r="I212" s="29" t="s">
        <v>106</v>
      </c>
      <c r="J212" s="29">
        <v>3.1</v>
      </c>
      <c r="K212" s="29">
        <v>1</v>
      </c>
      <c r="L212" s="29">
        <v>4.0999999999999996</v>
      </c>
      <c r="M212" s="29"/>
      <c r="N212" s="29"/>
    </row>
    <row r="213" spans="3:14">
      <c r="C213" s="29">
        <f>1+C212</f>
        <v>2</v>
      </c>
      <c r="D213" s="29" t="s">
        <v>71</v>
      </c>
      <c r="E213" s="29">
        <v>63</v>
      </c>
      <c r="F213" s="29" t="s">
        <v>1047</v>
      </c>
      <c r="G213" s="29" t="s">
        <v>1078</v>
      </c>
      <c r="H213" s="29">
        <v>20.6</v>
      </c>
      <c r="I213" s="29" t="s">
        <v>106</v>
      </c>
      <c r="J213" s="29">
        <v>3.1</v>
      </c>
      <c r="K213" s="29">
        <v>1</v>
      </c>
      <c r="L213" s="29">
        <v>4.0999999999999996</v>
      </c>
      <c r="M213" s="29"/>
      <c r="N213" s="29"/>
    </row>
    <row r="214" spans="3:14">
      <c r="C214" s="29">
        <f t="shared" ref="C214:C262" si="3">1+C213</f>
        <v>3</v>
      </c>
      <c r="D214" s="29" t="s">
        <v>71</v>
      </c>
      <c r="E214" s="29">
        <v>63</v>
      </c>
      <c r="F214" s="29" t="s">
        <v>672</v>
      </c>
      <c r="G214" s="29" t="s">
        <v>396</v>
      </c>
      <c r="H214" s="29">
        <v>61.8</v>
      </c>
      <c r="I214" s="29" t="s">
        <v>106</v>
      </c>
      <c r="J214" s="29">
        <v>3.1</v>
      </c>
      <c r="K214" s="29">
        <v>1</v>
      </c>
      <c r="L214" s="29">
        <v>4.0999999999999996</v>
      </c>
      <c r="M214" s="29"/>
      <c r="N214" s="29"/>
    </row>
    <row r="215" spans="3:14">
      <c r="C215" s="29">
        <f t="shared" si="3"/>
        <v>4</v>
      </c>
      <c r="D215" s="29" t="s">
        <v>71</v>
      </c>
      <c r="E215" s="29">
        <v>63</v>
      </c>
      <c r="F215" s="29" t="s">
        <v>396</v>
      </c>
      <c r="G215" s="29" t="s">
        <v>766</v>
      </c>
      <c r="H215" s="29">
        <v>33.4</v>
      </c>
      <c r="I215" s="29" t="s">
        <v>106</v>
      </c>
      <c r="J215" s="29">
        <v>3.1</v>
      </c>
      <c r="K215" s="29">
        <v>1</v>
      </c>
      <c r="L215" s="29">
        <v>4.0999999999999996</v>
      </c>
      <c r="M215" s="29"/>
      <c r="N215" s="29"/>
    </row>
    <row r="216" spans="3:14">
      <c r="C216" s="29">
        <f t="shared" si="3"/>
        <v>5</v>
      </c>
      <c r="D216" s="29" t="s">
        <v>71</v>
      </c>
      <c r="E216" s="29">
        <v>63</v>
      </c>
      <c r="F216" s="29" t="s">
        <v>396</v>
      </c>
      <c r="G216" s="29" t="s">
        <v>1079</v>
      </c>
      <c r="H216" s="29">
        <v>28.5</v>
      </c>
      <c r="I216" s="29" t="s">
        <v>106</v>
      </c>
      <c r="J216" s="29">
        <v>3.1</v>
      </c>
      <c r="K216" s="29">
        <v>1</v>
      </c>
      <c r="L216" s="29">
        <v>4.0999999999999996</v>
      </c>
      <c r="M216" s="29"/>
      <c r="N216" s="29"/>
    </row>
    <row r="217" spans="3:14">
      <c r="C217" s="29">
        <f t="shared" si="3"/>
        <v>6</v>
      </c>
      <c r="D217" s="29" t="s">
        <v>71</v>
      </c>
      <c r="E217" s="29">
        <v>63</v>
      </c>
      <c r="F217" s="29" t="s">
        <v>1049</v>
      </c>
      <c r="G217" s="29" t="s">
        <v>1080</v>
      </c>
      <c r="H217" s="29">
        <v>36.4</v>
      </c>
      <c r="I217" s="29" t="s">
        <v>106</v>
      </c>
      <c r="J217" s="29">
        <v>3.1</v>
      </c>
      <c r="K217" s="29">
        <v>1</v>
      </c>
      <c r="L217" s="29">
        <v>4.0999999999999996</v>
      </c>
      <c r="M217" s="29"/>
      <c r="N217" s="29"/>
    </row>
    <row r="218" spans="3:14">
      <c r="C218" s="29">
        <f t="shared" si="3"/>
        <v>7</v>
      </c>
      <c r="D218" s="29" t="s">
        <v>71</v>
      </c>
      <c r="E218" s="29">
        <v>63</v>
      </c>
      <c r="F218" s="29" t="s">
        <v>1050</v>
      </c>
      <c r="G218" s="29" t="s">
        <v>1081</v>
      </c>
      <c r="H218" s="29">
        <v>38.5</v>
      </c>
      <c r="I218" s="29" t="s">
        <v>106</v>
      </c>
      <c r="J218" s="29">
        <v>3.1</v>
      </c>
      <c r="K218" s="29">
        <v>1</v>
      </c>
      <c r="L218" s="29">
        <v>4.0999999999999996</v>
      </c>
      <c r="M218" s="29"/>
      <c r="N218" s="29"/>
    </row>
    <row r="219" spans="3:14">
      <c r="C219" s="29">
        <f t="shared" si="3"/>
        <v>8</v>
      </c>
      <c r="D219" s="29" t="s">
        <v>71</v>
      </c>
      <c r="E219" s="29">
        <v>63</v>
      </c>
      <c r="F219" s="29" t="s">
        <v>1052</v>
      </c>
      <c r="G219" s="29" t="s">
        <v>1082</v>
      </c>
      <c r="H219" s="29">
        <v>31.5</v>
      </c>
      <c r="I219" s="29" t="s">
        <v>106</v>
      </c>
      <c r="J219" s="29">
        <v>3.1</v>
      </c>
      <c r="K219" s="29">
        <v>1</v>
      </c>
      <c r="L219" s="29">
        <v>4.0999999999999996</v>
      </c>
      <c r="M219" s="29"/>
      <c r="N219" s="29"/>
    </row>
    <row r="220" spans="3:14">
      <c r="C220" s="29">
        <f t="shared" si="3"/>
        <v>9</v>
      </c>
      <c r="D220" s="29" t="s">
        <v>71</v>
      </c>
      <c r="E220" s="29">
        <v>63</v>
      </c>
      <c r="F220" s="29" t="s">
        <v>1082</v>
      </c>
      <c r="G220" s="29" t="s">
        <v>1083</v>
      </c>
      <c r="H220" s="29">
        <v>26.8</v>
      </c>
      <c r="I220" s="29" t="s">
        <v>106</v>
      </c>
      <c r="J220" s="29">
        <v>3.1</v>
      </c>
      <c r="K220" s="29">
        <v>1</v>
      </c>
      <c r="L220" s="29">
        <v>4.0999999999999996</v>
      </c>
      <c r="M220" s="29"/>
      <c r="N220" s="29"/>
    </row>
    <row r="221" spans="3:14">
      <c r="C221" s="29">
        <f t="shared" si="3"/>
        <v>10</v>
      </c>
      <c r="D221" s="29" t="s">
        <v>71</v>
      </c>
      <c r="E221" s="29">
        <v>63</v>
      </c>
      <c r="F221" s="29" t="s">
        <v>1053</v>
      </c>
      <c r="G221" s="29" t="s">
        <v>1082</v>
      </c>
      <c r="H221" s="29">
        <v>108.3</v>
      </c>
      <c r="I221" s="29" t="s">
        <v>106</v>
      </c>
      <c r="J221" s="29">
        <v>3.1</v>
      </c>
      <c r="K221" s="29">
        <v>1</v>
      </c>
      <c r="L221" s="29">
        <v>4.0999999999999996</v>
      </c>
      <c r="M221" s="29"/>
      <c r="N221" s="29"/>
    </row>
    <row r="222" spans="3:14">
      <c r="C222" s="29">
        <f t="shared" si="3"/>
        <v>11</v>
      </c>
      <c r="D222" s="29" t="s">
        <v>71</v>
      </c>
      <c r="E222" s="29">
        <v>63</v>
      </c>
      <c r="F222" s="29" t="s">
        <v>1084</v>
      </c>
      <c r="G222" s="29" t="s">
        <v>1055</v>
      </c>
      <c r="H222" s="29">
        <v>25.6</v>
      </c>
      <c r="I222" s="29" t="s">
        <v>106</v>
      </c>
      <c r="J222" s="29">
        <v>3.1</v>
      </c>
      <c r="K222" s="29">
        <v>1</v>
      </c>
      <c r="L222" s="29">
        <v>4.0999999999999996</v>
      </c>
      <c r="M222" s="29"/>
      <c r="N222" s="29"/>
    </row>
    <row r="223" spans="3:14">
      <c r="C223" s="29">
        <f t="shared" si="3"/>
        <v>12</v>
      </c>
      <c r="D223" s="29" t="s">
        <v>71</v>
      </c>
      <c r="E223" s="29">
        <v>63</v>
      </c>
      <c r="F223" s="29" t="s">
        <v>397</v>
      </c>
      <c r="G223" s="29" t="s">
        <v>744</v>
      </c>
      <c r="H223" s="29">
        <v>52.7</v>
      </c>
      <c r="I223" s="29" t="s">
        <v>106</v>
      </c>
      <c r="J223" s="29">
        <v>3.1</v>
      </c>
      <c r="K223" s="29">
        <v>1</v>
      </c>
      <c r="L223" s="29">
        <v>4.0999999999999996</v>
      </c>
      <c r="M223" s="29"/>
      <c r="N223" s="29"/>
    </row>
    <row r="224" spans="3:14">
      <c r="C224" s="29">
        <f t="shared" si="3"/>
        <v>13</v>
      </c>
      <c r="D224" s="29" t="s">
        <v>71</v>
      </c>
      <c r="E224" s="29">
        <v>63</v>
      </c>
      <c r="F224" s="29" t="s">
        <v>797</v>
      </c>
      <c r="G224" s="29" t="s">
        <v>1085</v>
      </c>
      <c r="H224" s="29">
        <v>37.700000000000003</v>
      </c>
      <c r="I224" s="29" t="s">
        <v>106</v>
      </c>
      <c r="J224" s="29">
        <v>3.1</v>
      </c>
      <c r="K224" s="29">
        <v>1</v>
      </c>
      <c r="L224" s="29">
        <v>4.0999999999999996</v>
      </c>
      <c r="M224" s="29"/>
      <c r="N224" s="29"/>
    </row>
    <row r="225" spans="3:14">
      <c r="C225" s="29">
        <f t="shared" si="3"/>
        <v>14</v>
      </c>
      <c r="D225" s="29" t="s">
        <v>71</v>
      </c>
      <c r="E225" s="29">
        <v>63</v>
      </c>
      <c r="F225" s="29" t="s">
        <v>797</v>
      </c>
      <c r="G225" s="29" t="s">
        <v>1020</v>
      </c>
      <c r="H225" s="29">
        <v>45.9</v>
      </c>
      <c r="I225" s="29" t="s">
        <v>106</v>
      </c>
      <c r="J225" s="29">
        <v>3.1</v>
      </c>
      <c r="K225" s="29">
        <v>1</v>
      </c>
      <c r="L225" s="29">
        <v>4.0999999999999996</v>
      </c>
      <c r="M225" s="29"/>
      <c r="N225" s="29"/>
    </row>
    <row r="226" spans="3:14">
      <c r="C226" s="29">
        <f t="shared" si="3"/>
        <v>15</v>
      </c>
      <c r="D226" s="29" t="s">
        <v>71</v>
      </c>
      <c r="E226" s="29">
        <v>63</v>
      </c>
      <c r="F226" s="29" t="s">
        <v>478</v>
      </c>
      <c r="G226" s="29" t="s">
        <v>1086</v>
      </c>
      <c r="H226" s="29">
        <v>57.6</v>
      </c>
      <c r="I226" s="29" t="s">
        <v>106</v>
      </c>
      <c r="J226" s="29">
        <v>3.1</v>
      </c>
      <c r="K226" s="29">
        <v>1</v>
      </c>
      <c r="L226" s="29">
        <v>4.0999999999999996</v>
      </c>
      <c r="M226" s="29"/>
      <c r="N226" s="29"/>
    </row>
    <row r="227" spans="3:14">
      <c r="C227" s="29">
        <f t="shared" si="3"/>
        <v>16</v>
      </c>
      <c r="D227" s="29" t="s">
        <v>71</v>
      </c>
      <c r="E227" s="29">
        <v>63</v>
      </c>
      <c r="F227" s="29" t="s">
        <v>312</v>
      </c>
      <c r="G227" s="29" t="s">
        <v>1087</v>
      </c>
      <c r="H227" s="29">
        <v>195</v>
      </c>
      <c r="I227" s="29" t="s">
        <v>106</v>
      </c>
      <c r="J227" s="29">
        <v>3.1</v>
      </c>
      <c r="K227" s="29">
        <v>1</v>
      </c>
      <c r="L227" s="29">
        <v>4.0999999999999996</v>
      </c>
      <c r="M227" s="29"/>
      <c r="N227" s="29"/>
    </row>
    <row r="228" spans="3:14">
      <c r="C228" s="29">
        <f t="shared" si="3"/>
        <v>17</v>
      </c>
      <c r="D228" s="29" t="s">
        <v>71</v>
      </c>
      <c r="E228" s="29">
        <v>63</v>
      </c>
      <c r="F228" s="29" t="s">
        <v>287</v>
      </c>
      <c r="G228" s="29" t="s">
        <v>711</v>
      </c>
      <c r="H228" s="29">
        <v>108.7</v>
      </c>
      <c r="I228" s="29" t="s">
        <v>106</v>
      </c>
      <c r="J228" s="29">
        <v>3.1</v>
      </c>
      <c r="K228" s="29">
        <v>1</v>
      </c>
      <c r="L228" s="29">
        <v>4.0999999999999996</v>
      </c>
      <c r="M228" s="29"/>
      <c r="N228" s="29"/>
    </row>
    <row r="229" spans="3:14">
      <c r="C229" s="29">
        <f t="shared" si="3"/>
        <v>18</v>
      </c>
      <c r="D229" s="29" t="s">
        <v>71</v>
      </c>
      <c r="E229" s="29">
        <v>63</v>
      </c>
      <c r="F229" s="29" t="s">
        <v>711</v>
      </c>
      <c r="G229" s="29" t="s">
        <v>1088</v>
      </c>
      <c r="H229" s="29">
        <v>121.6</v>
      </c>
      <c r="I229" s="29" t="s">
        <v>106</v>
      </c>
      <c r="J229" s="29">
        <v>3.1</v>
      </c>
      <c r="K229" s="29">
        <v>1</v>
      </c>
      <c r="L229" s="29">
        <v>4.0999999999999996</v>
      </c>
      <c r="M229" s="29"/>
      <c r="N229" s="29"/>
    </row>
    <row r="230" spans="3:14">
      <c r="C230" s="29">
        <f t="shared" si="3"/>
        <v>19</v>
      </c>
      <c r="D230" s="29" t="s">
        <v>71</v>
      </c>
      <c r="E230" s="29">
        <v>63</v>
      </c>
      <c r="F230" s="29" t="s">
        <v>711</v>
      </c>
      <c r="G230" s="29" t="s">
        <v>528</v>
      </c>
      <c r="H230" s="29">
        <v>96.4</v>
      </c>
      <c r="I230" s="29" t="s">
        <v>106</v>
      </c>
      <c r="J230" s="29">
        <v>3.1</v>
      </c>
      <c r="K230" s="29">
        <v>1</v>
      </c>
      <c r="L230" s="29">
        <v>4.0999999999999996</v>
      </c>
      <c r="M230" s="29"/>
      <c r="N230" s="29"/>
    </row>
    <row r="231" spans="3:14">
      <c r="C231" s="29">
        <f t="shared" si="3"/>
        <v>20</v>
      </c>
      <c r="D231" s="29" t="s">
        <v>71</v>
      </c>
      <c r="E231" s="29">
        <v>63</v>
      </c>
      <c r="F231" s="29" t="s">
        <v>1021</v>
      </c>
      <c r="G231" s="29" t="s">
        <v>1089</v>
      </c>
      <c r="H231" s="29">
        <v>21.8</v>
      </c>
      <c r="I231" s="29" t="s">
        <v>106</v>
      </c>
      <c r="J231" s="29">
        <v>3.1</v>
      </c>
      <c r="K231" s="29">
        <v>1</v>
      </c>
      <c r="L231" s="29">
        <v>4.0999999999999996</v>
      </c>
      <c r="M231" s="29"/>
      <c r="N231" s="29"/>
    </row>
    <row r="232" spans="3:14">
      <c r="C232" s="29">
        <f t="shared" si="3"/>
        <v>21</v>
      </c>
      <c r="D232" s="29" t="s">
        <v>71</v>
      </c>
      <c r="E232" s="29">
        <v>63</v>
      </c>
      <c r="F232" s="29" t="s">
        <v>1021</v>
      </c>
      <c r="G232" s="29" t="s">
        <v>1089</v>
      </c>
      <c r="H232" s="29">
        <v>64.7</v>
      </c>
      <c r="I232" s="29" t="s">
        <v>106</v>
      </c>
      <c r="J232" s="29">
        <v>3.1</v>
      </c>
      <c r="K232" s="29">
        <v>1</v>
      </c>
      <c r="L232" s="29">
        <v>4.0999999999999996</v>
      </c>
      <c r="M232" s="29"/>
      <c r="N232" s="29"/>
    </row>
    <row r="233" spans="3:14">
      <c r="C233" s="29">
        <f t="shared" si="3"/>
        <v>22</v>
      </c>
      <c r="D233" s="29" t="s">
        <v>71</v>
      </c>
      <c r="E233" s="29">
        <v>63</v>
      </c>
      <c r="F233" s="29" t="s">
        <v>1021</v>
      </c>
      <c r="G233" s="29" t="s">
        <v>1089</v>
      </c>
      <c r="H233" s="29">
        <v>50.3</v>
      </c>
      <c r="I233" s="29" t="s">
        <v>106</v>
      </c>
      <c r="J233" s="29">
        <v>3.1</v>
      </c>
      <c r="K233" s="29">
        <v>1</v>
      </c>
      <c r="L233" s="29">
        <v>4.0999999999999996</v>
      </c>
      <c r="M233" s="29"/>
      <c r="N233" s="29"/>
    </row>
    <row r="234" spans="3:14">
      <c r="C234" s="29">
        <f t="shared" si="3"/>
        <v>23</v>
      </c>
      <c r="D234" s="29" t="s">
        <v>71</v>
      </c>
      <c r="E234" s="29">
        <v>63</v>
      </c>
      <c r="F234" s="29" t="s">
        <v>1089</v>
      </c>
      <c r="G234" s="29" t="s">
        <v>703</v>
      </c>
      <c r="H234" s="29">
        <v>29.2</v>
      </c>
      <c r="I234" s="29" t="s">
        <v>106</v>
      </c>
      <c r="J234" s="29">
        <v>3.1</v>
      </c>
      <c r="K234" s="29">
        <v>1</v>
      </c>
      <c r="L234" s="29">
        <v>4.0999999999999996</v>
      </c>
      <c r="M234" s="29"/>
      <c r="N234" s="29"/>
    </row>
    <row r="235" spans="3:14">
      <c r="C235" s="29">
        <f t="shared" si="3"/>
        <v>24</v>
      </c>
      <c r="D235" s="29" t="s">
        <v>71</v>
      </c>
      <c r="E235" s="29">
        <v>63</v>
      </c>
      <c r="F235" s="29" t="s">
        <v>1089</v>
      </c>
      <c r="G235" s="29" t="s">
        <v>703</v>
      </c>
      <c r="H235" s="29">
        <v>19.100000000000001</v>
      </c>
      <c r="I235" s="29" t="s">
        <v>106</v>
      </c>
      <c r="J235" s="29">
        <v>3.1</v>
      </c>
      <c r="K235" s="29">
        <v>1</v>
      </c>
      <c r="L235" s="29">
        <v>4.0999999999999996</v>
      </c>
      <c r="M235" s="29"/>
      <c r="N235" s="29"/>
    </row>
    <row r="236" spans="3:14">
      <c r="C236" s="29">
        <f t="shared" si="3"/>
        <v>25</v>
      </c>
      <c r="D236" s="29" t="s">
        <v>71</v>
      </c>
      <c r="E236" s="29">
        <v>63</v>
      </c>
      <c r="F236" s="29" t="s">
        <v>1089</v>
      </c>
      <c r="G236" s="29" t="s">
        <v>703</v>
      </c>
      <c r="H236" s="29">
        <v>3</v>
      </c>
      <c r="I236" s="29" t="s">
        <v>106</v>
      </c>
      <c r="J236" s="29">
        <v>3.1</v>
      </c>
      <c r="K236" s="29">
        <v>1</v>
      </c>
      <c r="L236" s="29">
        <v>4.0999999999999996</v>
      </c>
      <c r="M236" s="29"/>
      <c r="N236" s="29"/>
    </row>
    <row r="237" spans="3:14">
      <c r="C237" s="29">
        <f t="shared" si="3"/>
        <v>26</v>
      </c>
      <c r="D237" s="29" t="s">
        <v>71</v>
      </c>
      <c r="E237" s="29">
        <v>63</v>
      </c>
      <c r="F237" s="29" t="s">
        <v>703</v>
      </c>
      <c r="G237" s="29" t="s">
        <v>685</v>
      </c>
      <c r="H237" s="29">
        <v>20.6</v>
      </c>
      <c r="I237" s="29" t="s">
        <v>106</v>
      </c>
      <c r="J237" s="29">
        <v>3.1</v>
      </c>
      <c r="K237" s="29">
        <v>1</v>
      </c>
      <c r="L237" s="29">
        <v>4.0999999999999996</v>
      </c>
      <c r="M237" s="29"/>
      <c r="N237" s="29"/>
    </row>
    <row r="238" spans="3:14">
      <c r="C238" s="29">
        <f t="shared" si="3"/>
        <v>27</v>
      </c>
      <c r="D238" s="29" t="s">
        <v>71</v>
      </c>
      <c r="E238" s="29">
        <v>63</v>
      </c>
      <c r="F238" s="29" t="s">
        <v>703</v>
      </c>
      <c r="G238" s="29" t="s">
        <v>686</v>
      </c>
      <c r="H238" s="29">
        <v>44.4</v>
      </c>
      <c r="I238" s="29" t="s">
        <v>106</v>
      </c>
      <c r="J238" s="29">
        <v>3.1</v>
      </c>
      <c r="K238" s="29">
        <v>1</v>
      </c>
      <c r="L238" s="29">
        <v>4.0999999999999996</v>
      </c>
      <c r="M238" s="29"/>
      <c r="N238" s="29"/>
    </row>
    <row r="239" spans="3:14">
      <c r="C239" s="29">
        <f t="shared" si="3"/>
        <v>28</v>
      </c>
      <c r="D239" s="29" t="s">
        <v>71</v>
      </c>
      <c r="E239" s="29">
        <v>63</v>
      </c>
      <c r="F239" s="29" t="s">
        <v>686</v>
      </c>
      <c r="G239" s="29" t="s">
        <v>748</v>
      </c>
      <c r="H239" s="29">
        <v>39.700000000000003</v>
      </c>
      <c r="I239" s="29" t="s">
        <v>106</v>
      </c>
      <c r="J239" s="29">
        <v>3.1</v>
      </c>
      <c r="K239" s="29">
        <v>1</v>
      </c>
      <c r="L239" s="29">
        <v>4.0999999999999996</v>
      </c>
      <c r="M239" s="29"/>
      <c r="N239" s="29"/>
    </row>
    <row r="240" spans="3:14">
      <c r="C240" s="29">
        <f t="shared" si="3"/>
        <v>29</v>
      </c>
      <c r="D240" s="29" t="s">
        <v>71</v>
      </c>
      <c r="E240" s="29">
        <v>63</v>
      </c>
      <c r="F240" s="29" t="s">
        <v>1090</v>
      </c>
      <c r="G240" s="29" t="s">
        <v>1056</v>
      </c>
      <c r="H240" s="29">
        <v>67</v>
      </c>
      <c r="I240" s="29" t="s">
        <v>106</v>
      </c>
      <c r="J240" s="29">
        <v>3.1</v>
      </c>
      <c r="K240" s="29">
        <v>1</v>
      </c>
      <c r="L240" s="29">
        <v>4.0999999999999996</v>
      </c>
      <c r="M240" s="29"/>
      <c r="N240" s="29"/>
    </row>
    <row r="241" spans="3:14">
      <c r="C241" s="29">
        <f t="shared" si="3"/>
        <v>30</v>
      </c>
      <c r="D241" s="29" t="s">
        <v>71</v>
      </c>
      <c r="E241" s="29">
        <v>63</v>
      </c>
      <c r="F241" s="29" t="s">
        <v>1056</v>
      </c>
      <c r="G241" s="29" t="s">
        <v>697</v>
      </c>
      <c r="H241" s="29">
        <v>36.799999999999997</v>
      </c>
      <c r="I241" s="29" t="s">
        <v>106</v>
      </c>
      <c r="J241" s="29">
        <v>3.1</v>
      </c>
      <c r="K241" s="29">
        <v>1</v>
      </c>
      <c r="L241" s="29">
        <v>4.0999999999999996</v>
      </c>
      <c r="M241" s="29"/>
      <c r="N241" s="29"/>
    </row>
    <row r="242" spans="3:14">
      <c r="C242" s="29">
        <f t="shared" si="3"/>
        <v>31</v>
      </c>
      <c r="D242" s="29" t="s">
        <v>71</v>
      </c>
      <c r="E242" s="29">
        <v>63</v>
      </c>
      <c r="F242" s="29" t="s">
        <v>1036</v>
      </c>
      <c r="G242" s="29" t="s">
        <v>663</v>
      </c>
      <c r="H242" s="29">
        <v>106.4</v>
      </c>
      <c r="I242" s="29" t="s">
        <v>106</v>
      </c>
      <c r="J242" s="29">
        <v>3.1</v>
      </c>
      <c r="K242" s="29">
        <v>1</v>
      </c>
      <c r="L242" s="29">
        <v>4.0999999999999996</v>
      </c>
      <c r="M242" s="29"/>
      <c r="N242" s="29"/>
    </row>
    <row r="243" spans="3:14">
      <c r="C243" s="29">
        <f t="shared" si="3"/>
        <v>32</v>
      </c>
      <c r="D243" s="29" t="s">
        <v>71</v>
      </c>
      <c r="E243" s="29">
        <v>63</v>
      </c>
      <c r="F243" s="29" t="s">
        <v>1038</v>
      </c>
      <c r="G243" s="29" t="s">
        <v>1091</v>
      </c>
      <c r="H243" s="29">
        <v>40.299999999999997</v>
      </c>
      <c r="I243" s="29" t="s">
        <v>106</v>
      </c>
      <c r="J243" s="29">
        <v>3.1</v>
      </c>
      <c r="K243" s="29">
        <v>1</v>
      </c>
      <c r="L243" s="29">
        <v>4.0999999999999996</v>
      </c>
      <c r="M243" s="29"/>
      <c r="N243" s="29"/>
    </row>
    <row r="244" spans="3:14">
      <c r="C244" s="29">
        <f t="shared" si="3"/>
        <v>33</v>
      </c>
      <c r="D244" s="29" t="s">
        <v>71</v>
      </c>
      <c r="E244" s="29">
        <v>63</v>
      </c>
      <c r="F244" s="29" t="s">
        <v>1091</v>
      </c>
      <c r="G244" s="29" t="s">
        <v>1092</v>
      </c>
      <c r="H244" s="29">
        <v>58.6</v>
      </c>
      <c r="I244" s="29" t="s">
        <v>106</v>
      </c>
      <c r="J244" s="29">
        <v>3.1</v>
      </c>
      <c r="K244" s="29">
        <v>1</v>
      </c>
      <c r="L244" s="29">
        <v>4.0999999999999996</v>
      </c>
      <c r="M244" s="29"/>
      <c r="N244" s="29"/>
    </row>
    <row r="245" spans="3:14">
      <c r="C245" s="29">
        <f t="shared" si="3"/>
        <v>34</v>
      </c>
      <c r="D245" s="29" t="s">
        <v>71</v>
      </c>
      <c r="E245" s="29">
        <v>63</v>
      </c>
      <c r="F245" s="29" t="s">
        <v>1091</v>
      </c>
      <c r="G245" s="29" t="s">
        <v>1093</v>
      </c>
      <c r="H245" s="29">
        <v>47.3</v>
      </c>
      <c r="I245" s="29" t="s">
        <v>106</v>
      </c>
      <c r="J245" s="29">
        <v>3.1</v>
      </c>
      <c r="K245" s="29">
        <v>1</v>
      </c>
      <c r="L245" s="29">
        <v>4.0999999999999996</v>
      </c>
      <c r="M245" s="29"/>
      <c r="N245" s="29"/>
    </row>
    <row r="246" spans="3:14">
      <c r="C246" s="29">
        <f t="shared" si="3"/>
        <v>35</v>
      </c>
      <c r="D246" s="29" t="s">
        <v>71</v>
      </c>
      <c r="E246" s="29">
        <v>63</v>
      </c>
      <c r="F246" s="29" t="s">
        <v>796</v>
      </c>
      <c r="G246" s="29" t="s">
        <v>699</v>
      </c>
      <c r="H246" s="29">
        <v>186.5</v>
      </c>
      <c r="I246" s="29" t="s">
        <v>106</v>
      </c>
      <c r="J246" s="29">
        <v>3.1</v>
      </c>
      <c r="K246" s="29">
        <v>1</v>
      </c>
      <c r="L246" s="29">
        <v>4.0999999999999996</v>
      </c>
      <c r="M246" s="29"/>
      <c r="N246" s="29"/>
    </row>
    <row r="247" spans="3:14">
      <c r="C247" s="29">
        <f t="shared" si="3"/>
        <v>36</v>
      </c>
      <c r="D247" s="29" t="s">
        <v>71</v>
      </c>
      <c r="E247" s="29">
        <v>63</v>
      </c>
      <c r="F247" s="29" t="s">
        <v>1041</v>
      </c>
      <c r="G247" s="29" t="s">
        <v>310</v>
      </c>
      <c r="H247" s="29">
        <v>111.6</v>
      </c>
      <c r="I247" s="29" t="s">
        <v>106</v>
      </c>
      <c r="J247" s="29">
        <v>3.1</v>
      </c>
      <c r="K247" s="29">
        <v>1</v>
      </c>
      <c r="L247" s="29">
        <v>4.0999999999999996</v>
      </c>
      <c r="M247" s="29"/>
      <c r="N247" s="29"/>
    </row>
    <row r="248" spans="3:14">
      <c r="C248" s="29">
        <f t="shared" si="3"/>
        <v>37</v>
      </c>
      <c r="D248" s="29" t="s">
        <v>71</v>
      </c>
      <c r="E248" s="29">
        <v>63</v>
      </c>
      <c r="F248" s="29" t="s">
        <v>310</v>
      </c>
      <c r="G248" s="29" t="s">
        <v>350</v>
      </c>
      <c r="H248" s="29">
        <v>49.8</v>
      </c>
      <c r="I248" s="29" t="s">
        <v>106</v>
      </c>
      <c r="J248" s="29">
        <v>3.1</v>
      </c>
      <c r="K248" s="29">
        <v>1</v>
      </c>
      <c r="L248" s="29">
        <v>4.0999999999999996</v>
      </c>
      <c r="M248" s="29"/>
      <c r="N248" s="29"/>
    </row>
    <row r="249" spans="3:14">
      <c r="C249" s="29">
        <f t="shared" si="3"/>
        <v>38</v>
      </c>
      <c r="D249" s="29" t="s">
        <v>71</v>
      </c>
      <c r="E249" s="29">
        <v>63</v>
      </c>
      <c r="F249" s="29" t="s">
        <v>310</v>
      </c>
      <c r="G249" s="29" t="s">
        <v>1059</v>
      </c>
      <c r="H249" s="29">
        <v>23.3</v>
      </c>
      <c r="I249" s="29" t="s">
        <v>106</v>
      </c>
      <c r="J249" s="29">
        <v>3.1</v>
      </c>
      <c r="K249" s="29">
        <v>1</v>
      </c>
      <c r="L249" s="29">
        <v>4.0999999999999996</v>
      </c>
      <c r="M249" s="29"/>
      <c r="N249" s="29"/>
    </row>
    <row r="250" spans="3:14">
      <c r="C250" s="29">
        <f t="shared" si="3"/>
        <v>39</v>
      </c>
      <c r="D250" s="29" t="s">
        <v>71</v>
      </c>
      <c r="E250" s="29">
        <v>63</v>
      </c>
      <c r="F250" s="29" t="s">
        <v>1059</v>
      </c>
      <c r="G250" s="29" t="s">
        <v>375</v>
      </c>
      <c r="H250" s="29">
        <v>69.7</v>
      </c>
      <c r="I250" s="29" t="s">
        <v>106</v>
      </c>
      <c r="J250" s="29">
        <v>3.1</v>
      </c>
      <c r="K250" s="29">
        <v>1</v>
      </c>
      <c r="L250" s="29">
        <v>4.0999999999999996</v>
      </c>
      <c r="M250" s="29"/>
      <c r="N250" s="29"/>
    </row>
    <row r="251" spans="3:14">
      <c r="C251" s="29">
        <f t="shared" si="3"/>
        <v>40</v>
      </c>
      <c r="D251" s="29" t="s">
        <v>71</v>
      </c>
      <c r="E251" s="29">
        <v>63</v>
      </c>
      <c r="F251" s="29" t="s">
        <v>375</v>
      </c>
      <c r="G251" s="29" t="s">
        <v>385</v>
      </c>
      <c r="H251" s="29">
        <v>52.4</v>
      </c>
      <c r="I251" s="29" t="s">
        <v>106</v>
      </c>
      <c r="J251" s="29">
        <v>3.1</v>
      </c>
      <c r="K251" s="29">
        <v>1</v>
      </c>
      <c r="L251" s="29">
        <v>4.0999999999999996</v>
      </c>
      <c r="M251" s="29"/>
      <c r="N251" s="29"/>
    </row>
    <row r="252" spans="3:14">
      <c r="C252" s="29">
        <f t="shared" si="3"/>
        <v>41</v>
      </c>
      <c r="D252" s="29" t="s">
        <v>71</v>
      </c>
      <c r="E252" s="29">
        <v>63</v>
      </c>
      <c r="F252" s="29" t="s">
        <v>375</v>
      </c>
      <c r="G252" s="29" t="s">
        <v>305</v>
      </c>
      <c r="H252" s="29">
        <v>32.6</v>
      </c>
      <c r="I252" s="29" t="s">
        <v>106</v>
      </c>
      <c r="J252" s="29">
        <v>3.1</v>
      </c>
      <c r="K252" s="29">
        <v>1</v>
      </c>
      <c r="L252" s="29">
        <v>4.0999999999999996</v>
      </c>
      <c r="M252" s="29"/>
      <c r="N252" s="29"/>
    </row>
    <row r="253" spans="3:14">
      <c r="C253" s="29">
        <f t="shared" si="3"/>
        <v>42</v>
      </c>
      <c r="D253" s="29" t="s">
        <v>71</v>
      </c>
      <c r="E253" s="29">
        <v>63</v>
      </c>
      <c r="F253" s="29" t="s">
        <v>375</v>
      </c>
      <c r="G253" s="29" t="s">
        <v>305</v>
      </c>
      <c r="H253" s="29">
        <v>66.400000000000006</v>
      </c>
      <c r="I253" s="29" t="s">
        <v>106</v>
      </c>
      <c r="J253" s="29">
        <v>3.1</v>
      </c>
      <c r="K253" s="29">
        <v>1</v>
      </c>
      <c r="L253" s="29">
        <v>4.0999999999999996</v>
      </c>
      <c r="M253" s="29"/>
      <c r="N253" s="29"/>
    </row>
    <row r="254" spans="3:14">
      <c r="C254" s="29">
        <f t="shared" si="3"/>
        <v>43</v>
      </c>
      <c r="D254" s="29" t="s">
        <v>71</v>
      </c>
      <c r="E254" s="29">
        <v>63</v>
      </c>
      <c r="F254" s="29" t="s">
        <v>294</v>
      </c>
      <c r="G254" s="29" t="s">
        <v>1094</v>
      </c>
      <c r="H254" s="29">
        <v>48.6</v>
      </c>
      <c r="I254" s="29" t="s">
        <v>106</v>
      </c>
      <c r="J254" s="29">
        <v>3.1</v>
      </c>
      <c r="K254" s="29">
        <v>1</v>
      </c>
      <c r="L254" s="29">
        <v>4.0999999999999996</v>
      </c>
      <c r="M254" s="29"/>
      <c r="N254" s="29"/>
    </row>
    <row r="255" spans="3:14">
      <c r="C255" s="29">
        <f t="shared" si="3"/>
        <v>44</v>
      </c>
      <c r="D255" s="29" t="s">
        <v>71</v>
      </c>
      <c r="E255" s="29">
        <v>63</v>
      </c>
      <c r="F255" s="29" t="s">
        <v>1094</v>
      </c>
      <c r="G255" s="29" t="s">
        <v>805</v>
      </c>
      <c r="H255" s="29">
        <v>33.200000000000003</v>
      </c>
      <c r="I255" s="29" t="s">
        <v>106</v>
      </c>
      <c r="J255" s="29">
        <v>3.1</v>
      </c>
      <c r="K255" s="29">
        <v>1</v>
      </c>
      <c r="L255" s="29">
        <v>4.0999999999999996</v>
      </c>
      <c r="M255" s="29"/>
      <c r="N255" s="29"/>
    </row>
    <row r="256" spans="3:14">
      <c r="C256" s="29">
        <f t="shared" si="3"/>
        <v>45</v>
      </c>
      <c r="D256" s="29" t="s">
        <v>71</v>
      </c>
      <c r="E256" s="29">
        <v>63</v>
      </c>
      <c r="F256" s="29" t="s">
        <v>1094</v>
      </c>
      <c r="G256" s="29" t="s">
        <v>726</v>
      </c>
      <c r="H256" s="29">
        <v>86.5</v>
      </c>
      <c r="I256" s="29" t="s">
        <v>106</v>
      </c>
      <c r="J256" s="29">
        <v>3.1</v>
      </c>
      <c r="K256" s="29">
        <v>1</v>
      </c>
      <c r="L256" s="29">
        <v>4.0999999999999996</v>
      </c>
      <c r="M256" s="29"/>
      <c r="N256" s="29"/>
    </row>
    <row r="257" spans="3:14">
      <c r="C257" s="29">
        <f t="shared" si="3"/>
        <v>46</v>
      </c>
      <c r="D257" s="29" t="s">
        <v>71</v>
      </c>
      <c r="E257" s="29">
        <v>63</v>
      </c>
      <c r="F257" s="29" t="s">
        <v>726</v>
      </c>
      <c r="G257" s="29" t="s">
        <v>995</v>
      </c>
      <c r="H257" s="29">
        <v>31.2</v>
      </c>
      <c r="I257" s="29" t="s">
        <v>106</v>
      </c>
      <c r="J257" s="29">
        <v>3.1</v>
      </c>
      <c r="K257" s="29">
        <v>1</v>
      </c>
      <c r="L257" s="29">
        <v>4.0999999999999996</v>
      </c>
      <c r="M257" s="29"/>
      <c r="N257" s="29"/>
    </row>
    <row r="258" spans="3:14">
      <c r="C258" s="29">
        <f t="shared" si="3"/>
        <v>47</v>
      </c>
      <c r="D258" s="29" t="s">
        <v>71</v>
      </c>
      <c r="E258" s="55">
        <v>63</v>
      </c>
      <c r="F258" s="55" t="s">
        <v>726</v>
      </c>
      <c r="G258" s="55" t="s">
        <v>1040</v>
      </c>
      <c r="H258" s="55">
        <v>41.3</v>
      </c>
      <c r="I258" s="29" t="s">
        <v>106</v>
      </c>
      <c r="J258" s="29">
        <v>3.1</v>
      </c>
      <c r="K258" s="29">
        <v>1</v>
      </c>
      <c r="L258" s="29">
        <v>4.0999999999999996</v>
      </c>
      <c r="M258" s="29"/>
      <c r="N258" s="29"/>
    </row>
    <row r="259" spans="3:14">
      <c r="C259" s="29">
        <f t="shared" si="3"/>
        <v>48</v>
      </c>
      <c r="D259" s="29" t="s">
        <v>71</v>
      </c>
      <c r="E259" s="29">
        <v>63</v>
      </c>
      <c r="F259" s="29" t="s">
        <v>726</v>
      </c>
      <c r="G259" s="29" t="s">
        <v>1040</v>
      </c>
      <c r="H259" s="29">
        <v>22.6</v>
      </c>
      <c r="I259" s="29" t="s">
        <v>106</v>
      </c>
      <c r="J259" s="29">
        <v>3.1</v>
      </c>
      <c r="K259" s="29">
        <v>1</v>
      </c>
      <c r="L259" s="29">
        <v>4.0999999999999996</v>
      </c>
      <c r="M259" s="29"/>
      <c r="N259" s="29"/>
    </row>
    <row r="260" spans="3:14">
      <c r="C260" s="29">
        <f t="shared" si="3"/>
        <v>49</v>
      </c>
      <c r="D260" s="29" t="s">
        <v>71</v>
      </c>
      <c r="E260" s="29">
        <v>63</v>
      </c>
      <c r="F260" s="29" t="s">
        <v>696</v>
      </c>
      <c r="G260" s="29" t="s">
        <v>808</v>
      </c>
      <c r="H260" s="29">
        <v>69.599999999999994</v>
      </c>
      <c r="I260" s="29" t="s">
        <v>106</v>
      </c>
      <c r="J260" s="29">
        <v>3.1</v>
      </c>
      <c r="K260" s="29">
        <v>1</v>
      </c>
      <c r="L260" s="29">
        <v>4.0999999999999996</v>
      </c>
      <c r="M260" s="29"/>
      <c r="N260" s="29"/>
    </row>
    <row r="261" spans="3:14">
      <c r="C261" s="29">
        <f t="shared" si="3"/>
        <v>50</v>
      </c>
      <c r="D261" s="29" t="s">
        <v>71</v>
      </c>
      <c r="E261" s="29">
        <v>63</v>
      </c>
      <c r="F261" s="29" t="s">
        <v>799</v>
      </c>
      <c r="G261" s="29" t="s">
        <v>692</v>
      </c>
      <c r="H261" s="29">
        <v>174.5</v>
      </c>
      <c r="I261" s="29" t="s">
        <v>106</v>
      </c>
      <c r="J261" s="29">
        <v>3.1</v>
      </c>
      <c r="K261" s="29">
        <v>1</v>
      </c>
      <c r="L261" s="29">
        <v>4.0999999999999996</v>
      </c>
      <c r="M261" s="29"/>
      <c r="N261" s="29"/>
    </row>
    <row r="262" spans="3:14">
      <c r="C262" s="29">
        <f t="shared" si="3"/>
        <v>51</v>
      </c>
      <c r="D262" s="29" t="s">
        <v>71</v>
      </c>
      <c r="E262" s="29">
        <v>63</v>
      </c>
      <c r="F262" s="29" t="s">
        <v>761</v>
      </c>
      <c r="G262" s="29" t="s">
        <v>1061</v>
      </c>
      <c r="H262" s="29">
        <v>220.1</v>
      </c>
      <c r="I262" s="29" t="s">
        <v>106</v>
      </c>
      <c r="J262" s="29">
        <v>3.1</v>
      </c>
      <c r="K262" s="29">
        <v>1</v>
      </c>
      <c r="L262" s="29">
        <v>4.0999999999999996</v>
      </c>
      <c r="M262" s="29"/>
      <c r="N262" s="29"/>
    </row>
    <row r="263" spans="3:14">
      <c r="C263" s="324"/>
      <c r="D263" s="324"/>
      <c r="E263" s="325"/>
      <c r="F263" s="325"/>
      <c r="G263" s="325"/>
      <c r="H263" s="325"/>
      <c r="I263" s="325"/>
      <c r="J263" s="325"/>
      <c r="K263" s="325"/>
      <c r="L263" s="325"/>
      <c r="M263" s="325"/>
      <c r="N263" s="325"/>
    </row>
    <row r="264" spans="3:14">
      <c r="C264" s="324"/>
      <c r="D264" s="324"/>
      <c r="E264" s="325" t="s">
        <v>86</v>
      </c>
      <c r="F264" s="325"/>
      <c r="G264" s="325"/>
      <c r="H264" s="325"/>
      <c r="I264" s="325" t="s">
        <v>87</v>
      </c>
      <c r="J264" s="325"/>
      <c r="K264" s="325"/>
      <c r="L264" s="325" t="s">
        <v>39</v>
      </c>
      <c r="M264" s="325"/>
      <c r="N264" s="325"/>
    </row>
    <row r="265" spans="3:14">
      <c r="C265" s="295" t="s">
        <v>40</v>
      </c>
      <c r="D265" s="295"/>
      <c r="E265" s="317"/>
      <c r="F265" s="317"/>
      <c r="G265" s="317"/>
      <c r="H265" s="317"/>
      <c r="I265" s="317"/>
      <c r="J265" s="317"/>
      <c r="K265" s="317"/>
      <c r="L265" s="317"/>
      <c r="M265" s="317"/>
      <c r="N265" s="317"/>
    </row>
    <row r="266" spans="3:14">
      <c r="C266" s="295" t="s">
        <v>41</v>
      </c>
      <c r="D266" s="295"/>
      <c r="E266" s="317"/>
      <c r="F266" s="317"/>
      <c r="G266" s="317"/>
      <c r="H266" s="317"/>
      <c r="I266" s="317"/>
      <c r="J266" s="317"/>
      <c r="K266" s="317"/>
      <c r="L266" s="317"/>
      <c r="M266" s="317"/>
      <c r="N266" s="317"/>
    </row>
    <row r="267" spans="3:14">
      <c r="C267" s="295" t="s">
        <v>42</v>
      </c>
      <c r="D267" s="295"/>
      <c r="E267" s="317"/>
      <c r="F267" s="317"/>
      <c r="G267" s="317"/>
      <c r="H267" s="317"/>
      <c r="I267" s="317"/>
      <c r="J267" s="317"/>
      <c r="K267" s="317"/>
      <c r="L267" s="317"/>
      <c r="M267" s="317"/>
      <c r="N267" s="317"/>
    </row>
    <row r="268" spans="3:14">
      <c r="C268" s="295" t="s">
        <v>43</v>
      </c>
      <c r="D268" s="295"/>
      <c r="E268" s="315"/>
      <c r="F268" s="316"/>
      <c r="G268" s="316"/>
      <c r="H268" s="316"/>
      <c r="I268" s="317"/>
      <c r="J268" s="317"/>
      <c r="K268" s="317"/>
      <c r="L268" s="317"/>
      <c r="M268" s="317"/>
      <c r="N268" s="317"/>
    </row>
  </sheetData>
  <mergeCells count="272">
    <mergeCell ref="C6:D6"/>
    <mergeCell ref="R6:S6"/>
    <mergeCell ref="C7:D7"/>
    <mergeCell ref="R7:S7"/>
    <mergeCell ref="C8:D8"/>
    <mergeCell ref="R8:S8"/>
    <mergeCell ref="C9:D9"/>
    <mergeCell ref="R9:S9"/>
    <mergeCell ref="C10:N10"/>
    <mergeCell ref="R10:AC10"/>
    <mergeCell ref="C12:N12"/>
    <mergeCell ref="R12:AC12"/>
    <mergeCell ref="D13:H13"/>
    <mergeCell ref="I13:N13"/>
    <mergeCell ref="S13:W13"/>
    <mergeCell ref="X13:AC13"/>
    <mergeCell ref="J14:L14"/>
    <mergeCell ref="Y14:AA14"/>
    <mergeCell ref="C36:D36"/>
    <mergeCell ref="E36:H36"/>
    <mergeCell ref="I36:K36"/>
    <mergeCell ref="L36:N36"/>
    <mergeCell ref="E14:E15"/>
    <mergeCell ref="F14:F15"/>
    <mergeCell ref="G14:G15"/>
    <mergeCell ref="H14:H15"/>
    <mergeCell ref="I14:I15"/>
    <mergeCell ref="M14:M15"/>
    <mergeCell ref="N14:N15"/>
    <mergeCell ref="AC14:AC15"/>
    <mergeCell ref="C37:D37"/>
    <mergeCell ref="E37:H37"/>
    <mergeCell ref="I37:K37"/>
    <mergeCell ref="L37:N37"/>
    <mergeCell ref="C38:D38"/>
    <mergeCell ref="E38:H38"/>
    <mergeCell ref="I38:K38"/>
    <mergeCell ref="L38:N38"/>
    <mergeCell ref="C39:D39"/>
    <mergeCell ref="E39:H39"/>
    <mergeCell ref="I39:K39"/>
    <mergeCell ref="L39:N39"/>
    <mergeCell ref="C40:D40"/>
    <mergeCell ref="E40:H40"/>
    <mergeCell ref="I40:K40"/>
    <mergeCell ref="L40:N40"/>
    <mergeCell ref="C43:D43"/>
    <mergeCell ref="E43:H43"/>
    <mergeCell ref="I43:K43"/>
    <mergeCell ref="L43:N43"/>
    <mergeCell ref="R43:S43"/>
    <mergeCell ref="T43:W43"/>
    <mergeCell ref="X43:Z43"/>
    <mergeCell ref="AA43:AC43"/>
    <mergeCell ref="C44:D44"/>
    <mergeCell ref="E44:H44"/>
    <mergeCell ref="I44:K44"/>
    <mergeCell ref="L44:N44"/>
    <mergeCell ref="R44:S44"/>
    <mergeCell ref="T44:W44"/>
    <mergeCell ref="X44:Z44"/>
    <mergeCell ref="AA44:AC44"/>
    <mergeCell ref="C45:D45"/>
    <mergeCell ref="E45:H45"/>
    <mergeCell ref="I45:K45"/>
    <mergeCell ref="L45:N45"/>
    <mergeCell ref="R45:S45"/>
    <mergeCell ref="T45:W45"/>
    <mergeCell ref="X45:Z45"/>
    <mergeCell ref="AA45:AC45"/>
    <mergeCell ref="C46:D46"/>
    <mergeCell ref="E46:H46"/>
    <mergeCell ref="I46:K46"/>
    <mergeCell ref="L46:N46"/>
    <mergeCell ref="R46:S46"/>
    <mergeCell ref="T46:W46"/>
    <mergeCell ref="X46:Z46"/>
    <mergeCell ref="AA46:AC46"/>
    <mergeCell ref="C47:D47"/>
    <mergeCell ref="E47:H47"/>
    <mergeCell ref="I47:K47"/>
    <mergeCell ref="L47:N47"/>
    <mergeCell ref="R47:S47"/>
    <mergeCell ref="T47:W47"/>
    <mergeCell ref="X47:Z47"/>
    <mergeCell ref="AA47:AC47"/>
    <mergeCell ref="C54:D54"/>
    <mergeCell ref="C55:D55"/>
    <mergeCell ref="C56:D56"/>
    <mergeCell ref="C57:D57"/>
    <mergeCell ref="C58:N58"/>
    <mergeCell ref="C60:N60"/>
    <mergeCell ref="D61:H61"/>
    <mergeCell ref="I61:N61"/>
    <mergeCell ref="J62:L62"/>
    <mergeCell ref="C103:D103"/>
    <mergeCell ref="E103:H103"/>
    <mergeCell ref="I103:K103"/>
    <mergeCell ref="L103:N103"/>
    <mergeCell ref="E62:E63"/>
    <mergeCell ref="F62:F63"/>
    <mergeCell ref="G62:G63"/>
    <mergeCell ref="H62:H63"/>
    <mergeCell ref="I62:I63"/>
    <mergeCell ref="M62:M63"/>
    <mergeCell ref="N62:N63"/>
    <mergeCell ref="C104:D104"/>
    <mergeCell ref="E104:H104"/>
    <mergeCell ref="I104:K104"/>
    <mergeCell ref="L104:N104"/>
    <mergeCell ref="C105:D105"/>
    <mergeCell ref="E105:H105"/>
    <mergeCell ref="I105:K105"/>
    <mergeCell ref="L105:N105"/>
    <mergeCell ref="C106:D106"/>
    <mergeCell ref="E106:H106"/>
    <mergeCell ref="I106:K106"/>
    <mergeCell ref="L106:N106"/>
    <mergeCell ref="C107:D107"/>
    <mergeCell ref="E107:H107"/>
    <mergeCell ref="I107:K107"/>
    <mergeCell ref="L107:N107"/>
    <mergeCell ref="C116:D116"/>
    <mergeCell ref="E116:H116"/>
    <mergeCell ref="I116:K116"/>
    <mergeCell ref="L116:N116"/>
    <mergeCell ref="C117:D117"/>
    <mergeCell ref="E117:H117"/>
    <mergeCell ref="I117:K117"/>
    <mergeCell ref="L117:N117"/>
    <mergeCell ref="C118:D118"/>
    <mergeCell ref="E118:H118"/>
    <mergeCell ref="I118:K118"/>
    <mergeCell ref="L118:N118"/>
    <mergeCell ref="C119:D119"/>
    <mergeCell ref="E119:H119"/>
    <mergeCell ref="I119:K119"/>
    <mergeCell ref="L119:N119"/>
    <mergeCell ref="C120:D120"/>
    <mergeCell ref="E120:H120"/>
    <mergeCell ref="I120:K120"/>
    <mergeCell ref="L120:N120"/>
    <mergeCell ref="C121:D121"/>
    <mergeCell ref="E121:H121"/>
    <mergeCell ref="I121:K121"/>
    <mergeCell ref="L121:N121"/>
    <mergeCell ref="C128:D128"/>
    <mergeCell ref="C129:D129"/>
    <mergeCell ref="C130:D130"/>
    <mergeCell ref="C131:D131"/>
    <mergeCell ref="C132:N132"/>
    <mergeCell ref="C134:N134"/>
    <mergeCell ref="D135:H135"/>
    <mergeCell ref="I135:N135"/>
    <mergeCell ref="J136:L136"/>
    <mergeCell ref="C171:D171"/>
    <mergeCell ref="E171:H171"/>
    <mergeCell ref="I171:K171"/>
    <mergeCell ref="L171:N171"/>
    <mergeCell ref="C172:D172"/>
    <mergeCell ref="E172:H172"/>
    <mergeCell ref="I172:K172"/>
    <mergeCell ref="L172:N172"/>
    <mergeCell ref="E136:E137"/>
    <mergeCell ref="F136:F137"/>
    <mergeCell ref="G136:G137"/>
    <mergeCell ref="H136:H137"/>
    <mergeCell ref="I136:I137"/>
    <mergeCell ref="M136:M137"/>
    <mergeCell ref="N136:N137"/>
    <mergeCell ref="C173:D173"/>
    <mergeCell ref="E173:H173"/>
    <mergeCell ref="I173:K173"/>
    <mergeCell ref="L173:N173"/>
    <mergeCell ref="C174:D174"/>
    <mergeCell ref="E174:H174"/>
    <mergeCell ref="I174:K174"/>
    <mergeCell ref="L174:N174"/>
    <mergeCell ref="C175:D175"/>
    <mergeCell ref="E175:H175"/>
    <mergeCell ref="I175:K175"/>
    <mergeCell ref="L175:N175"/>
    <mergeCell ref="C190:D190"/>
    <mergeCell ref="E190:H190"/>
    <mergeCell ref="I190:K190"/>
    <mergeCell ref="L190:N190"/>
    <mergeCell ref="C191:D191"/>
    <mergeCell ref="E191:H191"/>
    <mergeCell ref="I191:K191"/>
    <mergeCell ref="L191:N191"/>
    <mergeCell ref="C192:D192"/>
    <mergeCell ref="E192:H192"/>
    <mergeCell ref="I192:K192"/>
    <mergeCell ref="L192:N192"/>
    <mergeCell ref="J210:L210"/>
    <mergeCell ref="E210:E211"/>
    <mergeCell ref="F210:F211"/>
    <mergeCell ref="G210:G211"/>
    <mergeCell ref="H210:H211"/>
    <mergeCell ref="I210:I211"/>
    <mergeCell ref="M210:M211"/>
    <mergeCell ref="N210:N211"/>
    <mergeCell ref="C193:D193"/>
    <mergeCell ref="E193:H193"/>
    <mergeCell ref="I193:K193"/>
    <mergeCell ref="L193:N193"/>
    <mergeCell ref="C194:D194"/>
    <mergeCell ref="E194:H194"/>
    <mergeCell ref="I194:K194"/>
    <mergeCell ref="L194:N194"/>
    <mergeCell ref="C195:D195"/>
    <mergeCell ref="E195:H195"/>
    <mergeCell ref="I195:K195"/>
    <mergeCell ref="L195:N195"/>
    <mergeCell ref="C263:D263"/>
    <mergeCell ref="E263:H263"/>
    <mergeCell ref="I263:K263"/>
    <mergeCell ref="L263:N263"/>
    <mergeCell ref="C264:D264"/>
    <mergeCell ref="E264:H264"/>
    <mergeCell ref="I264:K264"/>
    <mergeCell ref="L264:N264"/>
    <mergeCell ref="C265:D265"/>
    <mergeCell ref="E265:H265"/>
    <mergeCell ref="I265:K265"/>
    <mergeCell ref="L265:N265"/>
    <mergeCell ref="C266:D266"/>
    <mergeCell ref="E266:H266"/>
    <mergeCell ref="I266:K266"/>
    <mergeCell ref="L266:N266"/>
    <mergeCell ref="C267:D267"/>
    <mergeCell ref="E267:H267"/>
    <mergeCell ref="I267:K267"/>
    <mergeCell ref="L267:N267"/>
    <mergeCell ref="C268:D268"/>
    <mergeCell ref="E268:H268"/>
    <mergeCell ref="I268:K268"/>
    <mergeCell ref="L268:N268"/>
    <mergeCell ref="C2:C5"/>
    <mergeCell ref="C14:C15"/>
    <mergeCell ref="C50:C53"/>
    <mergeCell ref="C62:C63"/>
    <mergeCell ref="C124:C127"/>
    <mergeCell ref="C136:C137"/>
    <mergeCell ref="C198:C201"/>
    <mergeCell ref="C210:C211"/>
    <mergeCell ref="D14:D15"/>
    <mergeCell ref="D62:D63"/>
    <mergeCell ref="D136:D137"/>
    <mergeCell ref="D210:D211"/>
    <mergeCell ref="D124:K127"/>
    <mergeCell ref="D198:K201"/>
    <mergeCell ref="D50:K53"/>
    <mergeCell ref="D2:K5"/>
    <mergeCell ref="C202:D202"/>
    <mergeCell ref="C203:D203"/>
    <mergeCell ref="C204:D204"/>
    <mergeCell ref="C205:D205"/>
    <mergeCell ref="C206:N206"/>
    <mergeCell ref="C208:N208"/>
    <mergeCell ref="D209:H209"/>
    <mergeCell ref="I209:N209"/>
    <mergeCell ref="R2:R5"/>
    <mergeCell ref="R14:R15"/>
    <mergeCell ref="S14:S15"/>
    <mergeCell ref="T14:T15"/>
    <mergeCell ref="U14:U15"/>
    <mergeCell ref="V14:V15"/>
    <mergeCell ref="W14:W15"/>
    <mergeCell ref="X14:X15"/>
    <mergeCell ref="AB14:AB15"/>
    <mergeCell ref="S2:Z5"/>
  </mergeCells>
  <pageMargins left="0.7" right="0.7" top="0.75" bottom="0.75" header="0.3" footer="0.3"/>
  <pageSetup orientation="portrait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F234"/>
  <sheetViews>
    <sheetView topLeftCell="A31" zoomScale="70" zoomScaleNormal="70" workbookViewId="0">
      <selection activeCell="B44" sqref="B44:N114"/>
    </sheetView>
  </sheetViews>
  <sheetFormatPr defaultColWidth="9" defaultRowHeight="15"/>
  <cols>
    <col min="3" max="3" width="7.42578125" customWidth="1"/>
    <col min="9" max="9" width="12.140625" customWidth="1"/>
    <col min="10" max="11" width="10" customWidth="1"/>
    <col min="12" max="12" width="9.140625" customWidth="1"/>
    <col min="13" max="13" width="11.85546875" customWidth="1"/>
    <col min="14" max="14" width="7.85546875" customWidth="1"/>
    <col min="27" max="27" width="31.5703125" customWidth="1"/>
  </cols>
  <sheetData>
    <row r="2" spans="3:32">
      <c r="C2" s="206"/>
      <c r="D2" s="211" t="s">
        <v>44</v>
      </c>
      <c r="E2" s="212"/>
      <c r="F2" s="212"/>
      <c r="G2" s="212"/>
      <c r="H2" s="212"/>
      <c r="I2" s="212"/>
      <c r="J2" s="212"/>
      <c r="K2" s="212"/>
      <c r="L2" s="20"/>
      <c r="M2" s="20"/>
      <c r="N2" s="21"/>
      <c r="T2" s="36"/>
      <c r="U2" s="371"/>
      <c r="V2" s="373"/>
      <c r="W2" s="373"/>
      <c r="X2" s="373"/>
      <c r="Y2" s="373"/>
      <c r="Z2" s="373"/>
      <c r="AA2" s="373"/>
      <c r="AB2" s="373"/>
      <c r="AC2" s="373"/>
      <c r="AD2" s="36"/>
      <c r="AE2" s="36"/>
      <c r="AF2" s="36"/>
    </row>
    <row r="3" spans="3:32">
      <c r="C3" s="207"/>
      <c r="D3" s="214"/>
      <c r="E3" s="215"/>
      <c r="F3" s="215"/>
      <c r="G3" s="215"/>
      <c r="H3" s="215"/>
      <c r="I3" s="215"/>
      <c r="J3" s="215"/>
      <c r="K3" s="215"/>
      <c r="N3" s="22"/>
      <c r="T3" s="36"/>
      <c r="U3" s="371"/>
      <c r="V3" s="373"/>
      <c r="W3" s="373"/>
      <c r="X3" s="373"/>
      <c r="Y3" s="373"/>
      <c r="Z3" s="373"/>
      <c r="AA3" s="373"/>
      <c r="AB3" s="373"/>
      <c r="AC3" s="373"/>
      <c r="AD3" s="36"/>
      <c r="AE3" s="36"/>
      <c r="AF3" s="36"/>
    </row>
    <row r="4" spans="3:32">
      <c r="C4" s="207"/>
      <c r="D4" s="214"/>
      <c r="E4" s="215"/>
      <c r="F4" s="215"/>
      <c r="G4" s="215"/>
      <c r="H4" s="215"/>
      <c r="I4" s="215"/>
      <c r="J4" s="215"/>
      <c r="K4" s="215"/>
      <c r="N4" s="22"/>
      <c r="T4" s="36"/>
      <c r="U4" s="371"/>
      <c r="V4" s="373"/>
      <c r="W4" s="373"/>
      <c r="X4" s="373"/>
      <c r="Y4" s="373"/>
      <c r="Z4" s="373"/>
      <c r="AA4" s="373"/>
      <c r="AB4" s="373"/>
      <c r="AC4" s="373"/>
      <c r="AD4" s="36"/>
      <c r="AE4" s="36"/>
      <c r="AF4" s="36"/>
    </row>
    <row r="5" spans="3:32">
      <c r="C5" s="207"/>
      <c r="D5" s="289"/>
      <c r="E5" s="290"/>
      <c r="F5" s="290"/>
      <c r="G5" s="290"/>
      <c r="H5" s="290"/>
      <c r="I5" s="290"/>
      <c r="J5" s="290"/>
      <c r="K5" s="290"/>
      <c r="N5" s="22"/>
      <c r="T5" s="36"/>
      <c r="U5" s="371"/>
      <c r="V5" s="373"/>
      <c r="W5" s="373"/>
      <c r="X5" s="373"/>
      <c r="Y5" s="373"/>
      <c r="Z5" s="373"/>
      <c r="AA5" s="373"/>
      <c r="AB5" s="373"/>
      <c r="AC5" s="373"/>
      <c r="AD5" s="36"/>
      <c r="AE5" s="36"/>
      <c r="AF5" s="36"/>
    </row>
    <row r="6" spans="3:32" ht="16.5">
      <c r="C6" s="223" t="s">
        <v>45</v>
      </c>
      <c r="D6" s="224"/>
      <c r="E6" s="7" t="s">
        <v>46</v>
      </c>
      <c r="F6" s="8"/>
      <c r="G6" s="8"/>
      <c r="H6" s="8"/>
      <c r="I6" s="8"/>
      <c r="J6" s="8"/>
      <c r="K6" s="8"/>
      <c r="L6" s="8"/>
      <c r="M6" s="8"/>
      <c r="N6" s="23"/>
      <c r="T6" s="36"/>
      <c r="U6" s="375"/>
      <c r="V6" s="375"/>
      <c r="W6" s="39"/>
      <c r="X6" s="39"/>
      <c r="Y6" s="39"/>
      <c r="Z6" s="39"/>
      <c r="AA6" s="39"/>
      <c r="AB6" s="39"/>
      <c r="AC6" s="39"/>
      <c r="AD6" s="39"/>
      <c r="AE6" s="39"/>
      <c r="AF6" s="39"/>
    </row>
    <row r="7" spans="3:32" ht="16.5">
      <c r="C7" s="223" t="s">
        <v>48</v>
      </c>
      <c r="D7" s="224"/>
      <c r="E7" s="7" t="s">
        <v>49</v>
      </c>
      <c r="F7" s="8"/>
      <c r="G7" s="8"/>
      <c r="H7" s="8"/>
      <c r="I7" s="8"/>
      <c r="J7" s="8"/>
      <c r="K7" s="8"/>
      <c r="L7" s="8"/>
      <c r="M7" s="8"/>
      <c r="N7" s="23"/>
      <c r="T7" s="36"/>
      <c r="U7" s="375"/>
      <c r="V7" s="375"/>
      <c r="W7" s="39"/>
      <c r="X7" s="39"/>
      <c r="Y7" s="39"/>
      <c r="Z7" s="39"/>
      <c r="AA7" s="39"/>
      <c r="AB7" s="39"/>
      <c r="AC7" s="39"/>
      <c r="AD7" s="39"/>
      <c r="AE7" s="39"/>
      <c r="AF7" s="39"/>
    </row>
    <row r="8" spans="3:32" ht="16.5">
      <c r="C8" s="225" t="s">
        <v>50</v>
      </c>
      <c r="D8" s="226"/>
      <c r="E8" s="7" t="s">
        <v>51</v>
      </c>
      <c r="F8" s="8"/>
      <c r="G8" s="8"/>
      <c r="H8" s="8"/>
      <c r="I8" s="8"/>
      <c r="J8" s="8"/>
      <c r="K8" s="8"/>
      <c r="L8" s="8"/>
      <c r="M8" s="8"/>
      <c r="N8" s="23"/>
      <c r="T8" s="36"/>
      <c r="U8" s="375"/>
      <c r="V8" s="375"/>
      <c r="W8" s="39"/>
      <c r="X8" s="39"/>
      <c r="Y8" s="39"/>
      <c r="Z8" s="39"/>
      <c r="AA8" s="39"/>
      <c r="AB8" s="39"/>
      <c r="AC8" s="39"/>
      <c r="AD8" s="39"/>
      <c r="AE8" s="39"/>
      <c r="AF8" s="39"/>
    </row>
    <row r="9" spans="3:32" ht="16.5">
      <c r="C9" s="223" t="s">
        <v>52</v>
      </c>
      <c r="D9" s="224"/>
      <c r="E9" s="7" t="s">
        <v>53</v>
      </c>
      <c r="F9" s="8"/>
      <c r="G9" s="8"/>
      <c r="H9" s="8"/>
      <c r="I9" s="8"/>
      <c r="J9" s="8"/>
      <c r="K9" s="8"/>
      <c r="L9" s="8"/>
      <c r="M9" s="8"/>
      <c r="N9" s="23"/>
      <c r="T9" s="36"/>
      <c r="U9" s="375"/>
      <c r="V9" s="375"/>
      <c r="W9" s="39"/>
      <c r="X9" s="39"/>
      <c r="Y9" s="39"/>
      <c r="Z9" s="39"/>
      <c r="AA9" s="39"/>
      <c r="AB9" s="39"/>
      <c r="AC9" s="39"/>
      <c r="AD9" s="39"/>
      <c r="AE9" s="39"/>
      <c r="AF9" s="39"/>
    </row>
    <row r="10" spans="3:32" ht="15.75">
      <c r="C10" s="227" t="s">
        <v>1095</v>
      </c>
      <c r="D10" s="228"/>
      <c r="E10" s="228"/>
      <c r="F10" s="228"/>
      <c r="G10" s="228"/>
      <c r="H10" s="228"/>
      <c r="I10" s="228"/>
      <c r="J10" s="228"/>
      <c r="K10" s="228"/>
      <c r="L10" s="228"/>
      <c r="M10" s="228"/>
      <c r="N10" s="229"/>
      <c r="T10" s="36"/>
      <c r="U10" s="381"/>
      <c r="V10" s="381"/>
      <c r="W10" s="381"/>
      <c r="X10" s="381"/>
      <c r="Y10" s="381"/>
      <c r="Z10" s="381"/>
      <c r="AA10" s="381"/>
      <c r="AB10" s="381"/>
      <c r="AC10" s="381"/>
      <c r="AD10" s="381"/>
      <c r="AE10" s="381"/>
      <c r="AF10" s="381"/>
    </row>
    <row r="11" spans="3:32" ht="15.75">
      <c r="C11" s="11" t="s">
        <v>55</v>
      </c>
      <c r="E11" s="12"/>
      <c r="F11" s="12"/>
      <c r="G11" s="12"/>
      <c r="H11" s="12"/>
      <c r="I11" s="24" t="s">
        <v>56</v>
      </c>
      <c r="J11" s="25"/>
      <c r="K11" s="12"/>
      <c r="L11" s="12"/>
      <c r="M11" s="12"/>
      <c r="N11" s="26"/>
      <c r="T11" s="36"/>
      <c r="U11" s="40"/>
      <c r="V11" s="36"/>
      <c r="W11" s="41"/>
      <c r="X11" s="41"/>
      <c r="Y11" s="41"/>
      <c r="Z11" s="41"/>
      <c r="AA11" s="44"/>
      <c r="AB11" s="44"/>
      <c r="AC11" s="41"/>
      <c r="AD11" s="41"/>
      <c r="AE11" s="41"/>
      <c r="AF11" s="41"/>
    </row>
    <row r="12" spans="3:32">
      <c r="C12" s="217"/>
      <c r="D12" s="218"/>
      <c r="E12" s="218"/>
      <c r="F12" s="218"/>
      <c r="G12" s="218"/>
      <c r="H12" s="218"/>
      <c r="I12" s="218"/>
      <c r="J12" s="218"/>
      <c r="K12" s="218"/>
      <c r="L12" s="218"/>
      <c r="M12" s="218"/>
      <c r="N12" s="219"/>
      <c r="T12" s="36"/>
      <c r="U12" s="377"/>
      <c r="V12" s="377"/>
      <c r="W12" s="377"/>
      <c r="X12" s="377"/>
      <c r="Y12" s="377"/>
      <c r="Z12" s="377"/>
      <c r="AA12" s="377"/>
      <c r="AB12" s="377"/>
      <c r="AC12" s="377"/>
      <c r="AD12" s="377"/>
      <c r="AE12" s="377"/>
      <c r="AF12" s="377"/>
    </row>
    <row r="13" spans="3:32" ht="15.75">
      <c r="C13" s="15" t="s">
        <v>103</v>
      </c>
      <c r="D13" s="355"/>
      <c r="E13" s="356"/>
      <c r="F13" s="356"/>
      <c r="G13" s="356"/>
      <c r="H13" s="357"/>
      <c r="I13" s="368" t="s">
        <v>542</v>
      </c>
      <c r="J13" s="369"/>
      <c r="K13" s="369"/>
      <c r="L13" s="369"/>
      <c r="M13" s="369"/>
      <c r="N13" s="370"/>
      <c r="T13" s="36"/>
      <c r="U13" s="42"/>
      <c r="V13" s="378"/>
      <c r="W13" s="378"/>
      <c r="X13" s="378"/>
      <c r="Y13" s="378"/>
      <c r="Z13" s="378"/>
      <c r="AA13" s="379"/>
      <c r="AB13" s="379"/>
      <c r="AC13" s="379"/>
      <c r="AD13" s="379"/>
      <c r="AE13" s="379"/>
      <c r="AF13" s="379"/>
    </row>
    <row r="14" spans="3:32">
      <c r="C14" s="329" t="s">
        <v>59</v>
      </c>
      <c r="D14" s="209" t="s">
        <v>60</v>
      </c>
      <c r="E14" s="209" t="s">
        <v>659</v>
      </c>
      <c r="F14" s="209" t="s">
        <v>62</v>
      </c>
      <c r="G14" s="209" t="s">
        <v>63</v>
      </c>
      <c r="H14" s="209" t="s">
        <v>64</v>
      </c>
      <c r="I14" s="209" t="s">
        <v>65</v>
      </c>
      <c r="J14" s="342" t="s">
        <v>66</v>
      </c>
      <c r="K14" s="343"/>
      <c r="L14" s="344"/>
      <c r="M14" s="209" t="s">
        <v>30</v>
      </c>
      <c r="N14" s="328" t="s">
        <v>67</v>
      </c>
      <c r="T14" s="36"/>
      <c r="U14" s="372"/>
      <c r="V14" s="372"/>
      <c r="W14" s="372"/>
      <c r="X14" s="372"/>
      <c r="Y14" s="372"/>
      <c r="Z14" s="372"/>
      <c r="AA14" s="372"/>
      <c r="AB14" s="380"/>
      <c r="AC14" s="380"/>
      <c r="AD14" s="380"/>
      <c r="AE14" s="372"/>
      <c r="AF14" s="372"/>
    </row>
    <row r="15" spans="3:32" ht="60">
      <c r="C15" s="359"/>
      <c r="D15" s="292"/>
      <c r="E15" s="292"/>
      <c r="F15" s="292"/>
      <c r="G15" s="292"/>
      <c r="H15" s="292"/>
      <c r="I15" s="292"/>
      <c r="J15" s="17" t="s">
        <v>68</v>
      </c>
      <c r="K15" s="28" t="s">
        <v>999</v>
      </c>
      <c r="L15" s="17" t="s">
        <v>70</v>
      </c>
      <c r="M15" s="292"/>
      <c r="N15" s="360"/>
      <c r="T15" s="36"/>
      <c r="U15" s="372"/>
      <c r="V15" s="372"/>
      <c r="W15" s="372"/>
      <c r="X15" s="372"/>
      <c r="Y15" s="372"/>
      <c r="Z15" s="372"/>
      <c r="AA15" s="372"/>
      <c r="AB15" s="43"/>
      <c r="AC15" s="45"/>
      <c r="AD15" s="43"/>
      <c r="AE15" s="372"/>
      <c r="AF15" s="372"/>
    </row>
    <row r="16" spans="3:32">
      <c r="C16" s="29">
        <v>1</v>
      </c>
      <c r="D16" s="29" t="s">
        <v>71</v>
      </c>
      <c r="E16" s="29">
        <v>63</v>
      </c>
      <c r="F16" s="29" t="s">
        <v>122</v>
      </c>
      <c r="G16" s="29" t="s">
        <v>366</v>
      </c>
      <c r="H16" s="29">
        <v>5</v>
      </c>
      <c r="I16" s="29" t="s">
        <v>276</v>
      </c>
      <c r="J16" s="29">
        <v>1.7</v>
      </c>
      <c r="K16" s="29">
        <v>3.1</v>
      </c>
      <c r="L16" s="29">
        <v>4.8</v>
      </c>
      <c r="M16" s="29"/>
      <c r="N16" s="29"/>
      <c r="T16" s="36"/>
      <c r="U16" s="37"/>
      <c r="V16" s="37"/>
      <c r="W16" s="37"/>
      <c r="X16" s="37"/>
      <c r="Y16" s="37"/>
      <c r="Z16" s="37"/>
      <c r="AA16" s="37"/>
      <c r="AB16" s="37"/>
      <c r="AC16" s="37"/>
      <c r="AD16" s="37"/>
      <c r="AE16" s="37"/>
      <c r="AF16" s="37"/>
    </row>
    <row r="17" spans="3:32">
      <c r="C17" s="29">
        <f>1+C16</f>
        <v>2</v>
      </c>
      <c r="D17" s="29" t="s">
        <v>71</v>
      </c>
      <c r="E17" s="29">
        <v>63</v>
      </c>
      <c r="F17" s="29" t="s">
        <v>122</v>
      </c>
      <c r="G17" s="29" t="s">
        <v>366</v>
      </c>
      <c r="H17" s="29">
        <v>1151.0999999999999</v>
      </c>
      <c r="I17" s="29" t="s">
        <v>276</v>
      </c>
      <c r="J17" s="29">
        <v>1.7</v>
      </c>
      <c r="K17" s="29">
        <v>3.1</v>
      </c>
      <c r="L17" s="29">
        <v>4.8</v>
      </c>
      <c r="M17" s="29"/>
      <c r="N17" s="29"/>
      <c r="T17" s="36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  <c r="AF17" s="37"/>
    </row>
    <row r="18" spans="3:32">
      <c r="C18" s="29">
        <f t="shared" ref="C18:C36" si="0">1+C17</f>
        <v>3</v>
      </c>
      <c r="D18" s="29" t="s">
        <v>71</v>
      </c>
      <c r="E18" s="29">
        <v>140</v>
      </c>
      <c r="F18" s="29" t="s">
        <v>122</v>
      </c>
      <c r="G18" s="29" t="s">
        <v>445</v>
      </c>
      <c r="H18" s="29">
        <v>158.19999999999999</v>
      </c>
      <c r="I18" s="29" t="s">
        <v>276</v>
      </c>
      <c r="J18" s="29">
        <v>1.7</v>
      </c>
      <c r="K18" s="29">
        <v>3.1</v>
      </c>
      <c r="L18" s="29">
        <v>4.8</v>
      </c>
      <c r="M18" s="29"/>
      <c r="N18" s="29"/>
      <c r="T18" s="36"/>
      <c r="U18" s="37"/>
      <c r="V18" s="37"/>
      <c r="W18" s="37"/>
      <c r="X18" s="37"/>
      <c r="Y18" s="37"/>
      <c r="Z18" s="37"/>
      <c r="AA18" s="37"/>
      <c r="AB18" s="37"/>
      <c r="AC18" s="37"/>
      <c r="AD18" s="37"/>
      <c r="AE18" s="37"/>
      <c r="AF18" s="37"/>
    </row>
    <row r="19" spans="3:32">
      <c r="C19" s="29">
        <f t="shared" si="0"/>
        <v>4</v>
      </c>
      <c r="D19" s="29" t="s">
        <v>71</v>
      </c>
      <c r="E19" s="29">
        <v>63</v>
      </c>
      <c r="F19" s="29" t="s">
        <v>445</v>
      </c>
      <c r="G19" s="29" t="s">
        <v>527</v>
      </c>
      <c r="H19" s="29">
        <v>4</v>
      </c>
      <c r="I19" s="29" t="s">
        <v>276</v>
      </c>
      <c r="J19" s="29">
        <v>1.7</v>
      </c>
      <c r="K19" s="29">
        <v>3.1</v>
      </c>
      <c r="L19" s="29">
        <v>4.8</v>
      </c>
      <c r="M19" s="29"/>
      <c r="N19" s="29"/>
      <c r="T19" s="36"/>
      <c r="U19" s="37"/>
      <c r="V19" s="37"/>
      <c r="W19" s="37"/>
      <c r="X19" s="37"/>
      <c r="Y19" s="37"/>
      <c r="Z19" s="37"/>
      <c r="AA19" s="37"/>
      <c r="AB19" s="37"/>
      <c r="AC19" s="37"/>
      <c r="AD19" s="37"/>
      <c r="AE19" s="37"/>
      <c r="AF19" s="37"/>
    </row>
    <row r="20" spans="3:32">
      <c r="C20" s="29">
        <f t="shared" si="0"/>
        <v>5</v>
      </c>
      <c r="D20" s="29" t="s">
        <v>71</v>
      </c>
      <c r="E20" s="29">
        <v>63</v>
      </c>
      <c r="F20" s="29" t="s">
        <v>445</v>
      </c>
      <c r="G20" s="29" t="s">
        <v>527</v>
      </c>
      <c r="H20" s="29">
        <v>65.3</v>
      </c>
      <c r="I20" s="29" t="s">
        <v>276</v>
      </c>
      <c r="J20" s="29">
        <v>1.7</v>
      </c>
      <c r="K20" s="29">
        <v>3.1</v>
      </c>
      <c r="L20" s="29">
        <v>4.8</v>
      </c>
      <c r="M20" s="29"/>
      <c r="N20" s="29"/>
      <c r="T20" s="36"/>
      <c r="U20" s="37"/>
      <c r="V20" s="37"/>
      <c r="W20" s="37"/>
      <c r="X20" s="37"/>
      <c r="Y20" s="37"/>
      <c r="Z20" s="37"/>
      <c r="AA20" s="37"/>
      <c r="AB20" s="37"/>
      <c r="AC20" s="37"/>
      <c r="AD20" s="37"/>
      <c r="AE20" s="37"/>
      <c r="AF20" s="37"/>
    </row>
    <row r="21" spans="3:32">
      <c r="C21" s="29">
        <f t="shared" si="0"/>
        <v>6</v>
      </c>
      <c r="D21" s="29" t="s">
        <v>71</v>
      </c>
      <c r="E21" s="29">
        <v>140</v>
      </c>
      <c r="F21" s="29" t="s">
        <v>445</v>
      </c>
      <c r="G21" s="29" t="s">
        <v>421</v>
      </c>
      <c r="H21" s="29">
        <v>124.1</v>
      </c>
      <c r="I21" s="29" t="s">
        <v>276</v>
      </c>
      <c r="J21" s="29">
        <v>1.7</v>
      </c>
      <c r="K21" s="29">
        <v>3.1</v>
      </c>
      <c r="L21" s="29">
        <v>4.8</v>
      </c>
      <c r="M21" s="29"/>
      <c r="N21" s="29"/>
      <c r="T21" s="36"/>
      <c r="U21" s="37"/>
      <c r="V21" s="37"/>
      <c r="W21" s="37"/>
      <c r="X21" s="37"/>
      <c r="Y21" s="37"/>
      <c r="Z21" s="37"/>
      <c r="AA21" s="37"/>
      <c r="AB21" s="37"/>
      <c r="AC21" s="37"/>
      <c r="AD21" s="37"/>
      <c r="AE21" s="37"/>
      <c r="AF21" s="37"/>
    </row>
    <row r="22" spans="3:32">
      <c r="C22" s="29">
        <f t="shared" si="0"/>
        <v>7</v>
      </c>
      <c r="D22" s="29" t="s">
        <v>71</v>
      </c>
      <c r="E22" s="29">
        <v>140</v>
      </c>
      <c r="F22" s="29" t="s">
        <v>445</v>
      </c>
      <c r="G22" s="29" t="s">
        <v>421</v>
      </c>
      <c r="H22" s="29">
        <v>4.7</v>
      </c>
      <c r="I22" s="29" t="s">
        <v>276</v>
      </c>
      <c r="J22" s="29">
        <v>1.7</v>
      </c>
      <c r="K22" s="29">
        <v>3.1</v>
      </c>
      <c r="L22" s="29">
        <v>4.8</v>
      </c>
      <c r="M22" s="29"/>
      <c r="N22" s="29"/>
      <c r="T22" s="36"/>
      <c r="U22" s="37"/>
      <c r="V22" s="37"/>
      <c r="W22" s="37"/>
      <c r="X22" s="37"/>
      <c r="Y22" s="37"/>
      <c r="Z22" s="37"/>
      <c r="AA22" s="37"/>
      <c r="AB22" s="37"/>
      <c r="AC22" s="37"/>
      <c r="AD22" s="37"/>
      <c r="AE22" s="37"/>
      <c r="AF22" s="37"/>
    </row>
    <row r="23" spans="3:32">
      <c r="C23" s="29">
        <f t="shared" si="0"/>
        <v>8</v>
      </c>
      <c r="D23" s="29" t="s">
        <v>71</v>
      </c>
      <c r="E23" s="29">
        <v>63</v>
      </c>
      <c r="F23" s="29" t="s">
        <v>421</v>
      </c>
      <c r="G23" s="29" t="s">
        <v>226</v>
      </c>
      <c r="H23" s="29">
        <v>326.2</v>
      </c>
      <c r="I23" s="29" t="s">
        <v>276</v>
      </c>
      <c r="J23" s="29">
        <v>1.7</v>
      </c>
      <c r="K23" s="29">
        <v>3.1</v>
      </c>
      <c r="L23" s="29">
        <v>4.8</v>
      </c>
      <c r="M23" s="29"/>
      <c r="N23" s="29"/>
      <c r="T23" s="36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</row>
    <row r="24" spans="3:32">
      <c r="C24" s="29">
        <f t="shared" si="0"/>
        <v>9</v>
      </c>
      <c r="D24" s="29" t="s">
        <v>71</v>
      </c>
      <c r="E24" s="29">
        <v>63</v>
      </c>
      <c r="F24" s="29" t="s">
        <v>238</v>
      </c>
      <c r="G24" s="29" t="s">
        <v>150</v>
      </c>
      <c r="H24" s="29">
        <v>4.7</v>
      </c>
      <c r="I24" s="29" t="s">
        <v>276</v>
      </c>
      <c r="J24" s="29">
        <v>1.7</v>
      </c>
      <c r="K24" s="29">
        <v>3.1</v>
      </c>
      <c r="L24" s="29">
        <v>4.8</v>
      </c>
      <c r="M24" s="29"/>
      <c r="N24" s="29"/>
      <c r="T24" s="36"/>
      <c r="U24" s="37"/>
      <c r="V24" s="37"/>
      <c r="W24" s="37"/>
      <c r="X24" s="37"/>
      <c r="Y24" s="37"/>
      <c r="Z24" s="37"/>
      <c r="AA24" s="37"/>
      <c r="AB24" s="37"/>
      <c r="AC24" s="37"/>
      <c r="AD24" s="37"/>
      <c r="AE24" s="37"/>
      <c r="AF24" s="37"/>
    </row>
    <row r="25" spans="3:32">
      <c r="C25" s="29">
        <f t="shared" si="0"/>
        <v>10</v>
      </c>
      <c r="D25" s="29" t="s">
        <v>71</v>
      </c>
      <c r="E25" s="29">
        <v>63</v>
      </c>
      <c r="F25" s="29" t="s">
        <v>226</v>
      </c>
      <c r="G25" s="29" t="s">
        <v>150</v>
      </c>
      <c r="H25" s="29">
        <v>110.7</v>
      </c>
      <c r="I25" s="29" t="s">
        <v>276</v>
      </c>
      <c r="J25" s="29">
        <v>1.7</v>
      </c>
      <c r="K25" s="29">
        <v>3.1</v>
      </c>
      <c r="L25" s="29">
        <v>4.8</v>
      </c>
      <c r="M25" s="29"/>
      <c r="N25" s="29"/>
      <c r="T25" s="36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37"/>
    </row>
    <row r="26" spans="3:32">
      <c r="C26" s="29">
        <f t="shared" si="0"/>
        <v>11</v>
      </c>
      <c r="D26" s="29" t="s">
        <v>71</v>
      </c>
      <c r="E26" s="29">
        <v>63</v>
      </c>
      <c r="F26" s="29" t="s">
        <v>127</v>
      </c>
      <c r="G26" s="29" t="s">
        <v>504</v>
      </c>
      <c r="H26" s="29">
        <v>148.69999999999999</v>
      </c>
      <c r="I26" s="29" t="s">
        <v>276</v>
      </c>
      <c r="J26" s="29">
        <v>1.7</v>
      </c>
      <c r="K26" s="29">
        <v>3.1</v>
      </c>
      <c r="L26" s="29">
        <v>4.8</v>
      </c>
      <c r="M26" s="29"/>
      <c r="N26" s="29"/>
      <c r="T26" s="36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  <c r="AF26" s="37"/>
    </row>
    <row r="27" spans="3:32">
      <c r="C27" s="29">
        <f t="shared" si="0"/>
        <v>12</v>
      </c>
      <c r="D27" s="29" t="s">
        <v>71</v>
      </c>
      <c r="E27" s="29">
        <v>63</v>
      </c>
      <c r="F27" s="29" t="s">
        <v>127</v>
      </c>
      <c r="G27" s="29" t="s">
        <v>504</v>
      </c>
      <c r="H27" s="29">
        <v>6</v>
      </c>
      <c r="I27" s="29" t="s">
        <v>276</v>
      </c>
      <c r="J27" s="29">
        <v>1.7</v>
      </c>
      <c r="K27" s="29">
        <v>3.1</v>
      </c>
      <c r="L27" s="29">
        <v>4.8</v>
      </c>
      <c r="M27" s="29"/>
      <c r="N27" s="29"/>
      <c r="T27" s="36"/>
      <c r="U27" s="37"/>
      <c r="V27" s="37"/>
      <c r="W27" s="37"/>
      <c r="X27" s="37"/>
      <c r="Y27" s="37"/>
      <c r="Z27" s="37"/>
      <c r="AA27" s="37"/>
      <c r="AB27" s="37"/>
      <c r="AC27" s="37"/>
      <c r="AD27" s="37"/>
      <c r="AE27" s="37"/>
      <c r="AF27" s="37"/>
    </row>
    <row r="28" spans="3:32">
      <c r="C28" s="29">
        <f t="shared" si="0"/>
        <v>13</v>
      </c>
      <c r="D28" s="29" t="s">
        <v>71</v>
      </c>
      <c r="E28" s="29">
        <v>63</v>
      </c>
      <c r="F28" s="29" t="s">
        <v>238</v>
      </c>
      <c r="G28" s="29" t="s">
        <v>504</v>
      </c>
      <c r="H28" s="29">
        <v>7.2</v>
      </c>
      <c r="I28" s="29" t="s">
        <v>276</v>
      </c>
      <c r="J28" s="29">
        <v>1.7</v>
      </c>
      <c r="K28" s="29">
        <v>3.1</v>
      </c>
      <c r="L28" s="29">
        <v>4.8</v>
      </c>
      <c r="M28" s="29"/>
      <c r="N28" s="29"/>
      <c r="T28" s="36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</row>
    <row r="29" spans="3:32">
      <c r="C29" s="29">
        <f t="shared" si="0"/>
        <v>14</v>
      </c>
      <c r="D29" s="29" t="s">
        <v>71</v>
      </c>
      <c r="E29" s="29">
        <v>63</v>
      </c>
      <c r="F29" s="29" t="s">
        <v>504</v>
      </c>
      <c r="G29" s="29" t="s">
        <v>241</v>
      </c>
      <c r="H29" s="29">
        <v>17.399999999999999</v>
      </c>
      <c r="I29" s="29" t="s">
        <v>276</v>
      </c>
      <c r="J29" s="29">
        <v>1.7</v>
      </c>
      <c r="K29" s="29">
        <v>3.1</v>
      </c>
      <c r="L29" s="29">
        <v>4.8</v>
      </c>
      <c r="M29" s="29"/>
      <c r="N29" s="29"/>
      <c r="T29" s="36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37"/>
    </row>
    <row r="30" spans="3:32">
      <c r="C30" s="29">
        <f t="shared" si="0"/>
        <v>15</v>
      </c>
      <c r="D30" s="29" t="s">
        <v>71</v>
      </c>
      <c r="E30" s="29">
        <v>125</v>
      </c>
      <c r="F30" s="29" t="s">
        <v>421</v>
      </c>
      <c r="G30" s="29" t="s">
        <v>134</v>
      </c>
      <c r="H30" s="29">
        <v>428.3</v>
      </c>
      <c r="I30" s="29" t="s">
        <v>276</v>
      </c>
      <c r="J30" s="29">
        <v>1.7</v>
      </c>
      <c r="K30" s="29">
        <v>3.1</v>
      </c>
      <c r="L30" s="29">
        <v>4.8</v>
      </c>
      <c r="M30" s="29"/>
      <c r="N30" s="29"/>
      <c r="T30" s="36"/>
      <c r="U30" s="37"/>
      <c r="V30" s="37"/>
      <c r="W30" s="37"/>
      <c r="X30" s="37"/>
      <c r="Y30" s="37"/>
      <c r="Z30" s="37"/>
      <c r="AA30" s="37"/>
      <c r="AB30" s="37"/>
      <c r="AC30" s="37"/>
      <c r="AD30" s="37"/>
      <c r="AE30" s="37"/>
      <c r="AF30" s="37"/>
    </row>
    <row r="31" spans="3:32">
      <c r="C31" s="29">
        <f t="shared" si="0"/>
        <v>16</v>
      </c>
      <c r="D31" s="29" t="s">
        <v>71</v>
      </c>
      <c r="E31" s="29">
        <v>110</v>
      </c>
      <c r="F31" s="29" t="s">
        <v>134</v>
      </c>
      <c r="G31" s="29" t="s">
        <v>128</v>
      </c>
      <c r="H31" s="33">
        <v>86.1</v>
      </c>
      <c r="I31" s="29" t="s">
        <v>276</v>
      </c>
      <c r="J31" s="29">
        <v>1.7</v>
      </c>
      <c r="K31" s="29">
        <v>3.1</v>
      </c>
      <c r="L31" s="29">
        <v>4.8</v>
      </c>
      <c r="M31" s="29"/>
      <c r="N31" s="29"/>
      <c r="T31" s="36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  <c r="AF31" s="37"/>
    </row>
    <row r="32" spans="3:32">
      <c r="C32" s="29">
        <f t="shared" si="0"/>
        <v>17</v>
      </c>
      <c r="D32" s="29" t="s">
        <v>71</v>
      </c>
      <c r="E32" s="29">
        <v>63</v>
      </c>
      <c r="F32" s="29" t="s">
        <v>128</v>
      </c>
      <c r="G32" s="29" t="s">
        <v>243</v>
      </c>
      <c r="H32" s="29">
        <v>123.2</v>
      </c>
      <c r="I32" s="29" t="s">
        <v>276</v>
      </c>
      <c r="J32" s="29">
        <v>1.7</v>
      </c>
      <c r="K32" s="29">
        <v>3.1</v>
      </c>
      <c r="L32" s="29">
        <v>4.8</v>
      </c>
      <c r="M32" s="29"/>
      <c r="N32" s="29"/>
      <c r="T32" s="36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  <c r="AF32" s="37"/>
    </row>
    <row r="33" spans="3:32">
      <c r="C33" s="29">
        <f t="shared" si="0"/>
        <v>18</v>
      </c>
      <c r="D33" s="29" t="s">
        <v>71</v>
      </c>
      <c r="E33" s="29">
        <v>110</v>
      </c>
      <c r="F33" s="29" t="s">
        <v>128</v>
      </c>
      <c r="G33" s="29" t="s">
        <v>202</v>
      </c>
      <c r="H33" s="29">
        <v>229.4</v>
      </c>
      <c r="I33" s="29" t="s">
        <v>276</v>
      </c>
      <c r="J33" s="29">
        <v>1.7</v>
      </c>
      <c r="K33" s="29">
        <v>3.1</v>
      </c>
      <c r="L33" s="29">
        <v>4.8</v>
      </c>
      <c r="M33" s="29"/>
      <c r="N33" s="29"/>
      <c r="T33" s="36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</row>
    <row r="34" spans="3:32">
      <c r="C34" s="29">
        <f t="shared" si="0"/>
        <v>19</v>
      </c>
      <c r="D34" s="29" t="s">
        <v>71</v>
      </c>
      <c r="E34" s="29">
        <v>90</v>
      </c>
      <c r="F34" s="29" t="s">
        <v>202</v>
      </c>
      <c r="G34" s="29" t="s">
        <v>1096</v>
      </c>
      <c r="H34" s="29">
        <v>58.4</v>
      </c>
      <c r="I34" s="29" t="s">
        <v>276</v>
      </c>
      <c r="J34" s="29">
        <v>1.7</v>
      </c>
      <c r="K34" s="29">
        <v>3.1</v>
      </c>
      <c r="L34" s="29">
        <v>4.8</v>
      </c>
      <c r="M34" s="29"/>
      <c r="N34" s="29"/>
      <c r="T34" s="36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</row>
    <row r="35" spans="3:32">
      <c r="C35" s="29">
        <f t="shared" si="0"/>
        <v>20</v>
      </c>
      <c r="D35" s="29" t="s">
        <v>71</v>
      </c>
      <c r="E35" s="29">
        <v>63</v>
      </c>
      <c r="F35" s="29" t="s">
        <v>1096</v>
      </c>
      <c r="G35" s="29" t="s">
        <v>1097</v>
      </c>
      <c r="H35" s="29">
        <v>208.3</v>
      </c>
      <c r="I35" s="29" t="s">
        <v>276</v>
      </c>
      <c r="J35" s="29">
        <v>1.7</v>
      </c>
      <c r="K35" s="29">
        <v>3.1</v>
      </c>
      <c r="L35" s="29">
        <v>4.8</v>
      </c>
      <c r="M35" s="29"/>
      <c r="N35" s="29"/>
      <c r="T35" s="36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  <c r="AF35" s="37"/>
    </row>
    <row r="36" spans="3:32">
      <c r="C36" s="29">
        <f t="shared" si="0"/>
        <v>21</v>
      </c>
      <c r="D36" s="29" t="s">
        <v>71</v>
      </c>
      <c r="E36" s="29">
        <v>90</v>
      </c>
      <c r="F36" s="29" t="s">
        <v>1096</v>
      </c>
      <c r="G36" s="29" t="s">
        <v>665</v>
      </c>
      <c r="H36" s="29">
        <v>87</v>
      </c>
      <c r="I36" s="29" t="s">
        <v>276</v>
      </c>
      <c r="J36" s="29">
        <v>1.7</v>
      </c>
      <c r="K36" s="29">
        <v>3.1</v>
      </c>
      <c r="L36" s="29">
        <v>4.8</v>
      </c>
      <c r="M36" s="29"/>
      <c r="N36" s="29"/>
      <c r="T36" s="36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</row>
    <row r="37" spans="3:32">
      <c r="C37" s="272"/>
      <c r="D37" s="273"/>
      <c r="E37" s="273"/>
      <c r="F37" s="273"/>
      <c r="G37" s="273"/>
      <c r="H37" s="273"/>
      <c r="I37" s="273"/>
      <c r="J37" s="273"/>
      <c r="K37" s="273"/>
      <c r="L37" s="273"/>
      <c r="M37" s="273"/>
      <c r="N37" s="274"/>
      <c r="T37" s="36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</row>
    <row r="38" spans="3:32">
      <c r="C38" s="324"/>
      <c r="D38" s="324"/>
      <c r="E38" s="325" t="s">
        <v>86</v>
      </c>
      <c r="F38" s="325"/>
      <c r="G38" s="325"/>
      <c r="H38" s="325"/>
      <c r="I38" s="325" t="s">
        <v>87</v>
      </c>
      <c r="J38" s="325"/>
      <c r="K38" s="325"/>
      <c r="L38" s="325" t="s">
        <v>39</v>
      </c>
      <c r="M38" s="325"/>
      <c r="N38" s="325"/>
      <c r="T38" s="36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</row>
    <row r="39" spans="3:32">
      <c r="C39" s="295" t="s">
        <v>40</v>
      </c>
      <c r="D39" s="295"/>
      <c r="E39" s="317"/>
      <c r="F39" s="317"/>
      <c r="G39" s="317"/>
      <c r="H39" s="317"/>
      <c r="I39" s="317"/>
      <c r="J39" s="317"/>
      <c r="K39" s="317"/>
      <c r="L39" s="317"/>
      <c r="M39" s="317"/>
      <c r="N39" s="317"/>
      <c r="T39" s="36"/>
      <c r="U39" s="37"/>
      <c r="V39" s="37"/>
      <c r="W39" s="37"/>
      <c r="X39" s="37"/>
      <c r="Y39" s="37"/>
      <c r="Z39" s="37"/>
      <c r="AA39" s="37"/>
      <c r="AB39" s="37"/>
      <c r="AC39" s="37"/>
      <c r="AD39" s="37"/>
      <c r="AE39" s="37"/>
      <c r="AF39" s="37"/>
    </row>
    <row r="40" spans="3:32">
      <c r="C40" s="295" t="s">
        <v>41</v>
      </c>
      <c r="D40" s="295"/>
      <c r="E40" s="317"/>
      <c r="F40" s="317"/>
      <c r="G40" s="317"/>
      <c r="H40" s="317"/>
      <c r="I40" s="317"/>
      <c r="J40" s="317"/>
      <c r="K40" s="317"/>
      <c r="L40" s="317"/>
      <c r="M40" s="317"/>
      <c r="N40" s="317"/>
      <c r="T40" s="36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  <c r="AF40" s="37"/>
    </row>
    <row r="41" spans="3:32">
      <c r="C41" s="295" t="s">
        <v>42</v>
      </c>
      <c r="D41" s="295"/>
      <c r="E41" s="317"/>
      <c r="F41" s="317"/>
      <c r="G41" s="317"/>
      <c r="H41" s="317"/>
      <c r="I41" s="317"/>
      <c r="J41" s="317"/>
      <c r="K41" s="317"/>
      <c r="L41" s="317"/>
      <c r="M41" s="317"/>
      <c r="N41" s="317"/>
      <c r="T41" s="36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  <c r="AF41" s="37"/>
    </row>
    <row r="42" spans="3:32">
      <c r="C42" s="295" t="s">
        <v>43</v>
      </c>
      <c r="D42" s="295"/>
      <c r="E42" s="315"/>
      <c r="F42" s="316"/>
      <c r="G42" s="316"/>
      <c r="H42" s="316"/>
      <c r="I42" s="317"/>
      <c r="J42" s="317"/>
      <c r="K42" s="317"/>
      <c r="L42" s="317"/>
      <c r="M42" s="317"/>
      <c r="N42" s="317"/>
      <c r="T42" s="36"/>
      <c r="U42" s="37"/>
      <c r="V42" s="37"/>
      <c r="W42" s="37"/>
      <c r="X42" s="37"/>
      <c r="Y42" s="37"/>
      <c r="Z42" s="37"/>
      <c r="AA42" s="37"/>
      <c r="AB42" s="37"/>
      <c r="AC42" s="37"/>
      <c r="AD42" s="37"/>
      <c r="AE42" s="37"/>
      <c r="AF42" s="37"/>
    </row>
    <row r="43" spans="3:32">
      <c r="T43" s="36"/>
      <c r="U43" s="37"/>
      <c r="V43" s="37"/>
      <c r="W43" s="37"/>
      <c r="X43" s="37"/>
      <c r="Y43" s="37"/>
      <c r="Z43" s="37"/>
      <c r="AA43" s="37"/>
      <c r="AB43" s="37"/>
      <c r="AC43" s="37"/>
      <c r="AD43" s="37"/>
      <c r="AE43" s="37"/>
      <c r="AF43" s="37"/>
    </row>
    <row r="44" spans="3:32" ht="15" customHeight="1">
      <c r="C44" s="206"/>
      <c r="D44" s="211" t="s">
        <v>44</v>
      </c>
      <c r="E44" s="212"/>
      <c r="F44" s="212"/>
      <c r="G44" s="212"/>
      <c r="H44" s="212"/>
      <c r="I44" s="212"/>
      <c r="J44" s="212"/>
      <c r="K44" s="212"/>
      <c r="L44" s="20"/>
      <c r="M44" s="20"/>
      <c r="N44" s="21"/>
      <c r="T44" s="36"/>
      <c r="U44" s="37"/>
      <c r="V44" s="37"/>
      <c r="W44" s="37"/>
      <c r="X44" s="37"/>
      <c r="Y44" s="37"/>
      <c r="Z44" s="37"/>
      <c r="AA44" s="37"/>
      <c r="AB44" s="37"/>
      <c r="AC44" s="37"/>
      <c r="AD44" s="37"/>
      <c r="AE44" s="37"/>
      <c r="AF44" s="37"/>
    </row>
    <row r="45" spans="3:32" ht="15" customHeight="1">
      <c r="C45" s="207"/>
      <c r="D45" s="214"/>
      <c r="E45" s="215"/>
      <c r="F45" s="215"/>
      <c r="G45" s="215"/>
      <c r="H45" s="215"/>
      <c r="I45" s="215"/>
      <c r="J45" s="215"/>
      <c r="K45" s="215"/>
      <c r="N45" s="22"/>
      <c r="T45" s="36"/>
      <c r="U45" s="37"/>
      <c r="V45" s="37"/>
      <c r="W45" s="37"/>
      <c r="X45" s="37"/>
      <c r="Y45" s="37"/>
      <c r="Z45" s="37"/>
      <c r="AA45" s="37"/>
      <c r="AB45" s="37"/>
      <c r="AC45" s="37"/>
      <c r="AD45" s="37"/>
      <c r="AE45" s="37"/>
      <c r="AF45" s="37"/>
    </row>
    <row r="46" spans="3:32" ht="15" customHeight="1">
      <c r="C46" s="207"/>
      <c r="D46" s="214"/>
      <c r="E46" s="215"/>
      <c r="F46" s="215"/>
      <c r="G46" s="215"/>
      <c r="H46" s="215"/>
      <c r="I46" s="215"/>
      <c r="J46" s="215"/>
      <c r="K46" s="215"/>
      <c r="N46" s="22"/>
      <c r="T46" s="36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</row>
    <row r="47" spans="3:32" ht="15" customHeight="1">
      <c r="C47" s="207"/>
      <c r="D47" s="289"/>
      <c r="E47" s="290"/>
      <c r="F47" s="290"/>
      <c r="G47" s="290"/>
      <c r="H47" s="290"/>
      <c r="I47" s="290"/>
      <c r="J47" s="290"/>
      <c r="K47" s="290"/>
      <c r="N47" s="22"/>
      <c r="T47" s="36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37"/>
      <c r="AF47" s="37"/>
    </row>
    <row r="48" spans="3:32" ht="16.5">
      <c r="C48" s="223" t="s">
        <v>45</v>
      </c>
      <c r="D48" s="224"/>
      <c r="E48" s="7" t="s">
        <v>46</v>
      </c>
      <c r="F48" s="8"/>
      <c r="G48" s="8"/>
      <c r="H48" s="8"/>
      <c r="I48" s="8"/>
      <c r="J48" s="8"/>
      <c r="K48" s="8"/>
      <c r="L48" s="8"/>
      <c r="M48" s="8"/>
      <c r="N48" s="23"/>
      <c r="T48" s="36"/>
      <c r="U48" s="37"/>
      <c r="V48" s="37"/>
      <c r="W48" s="37"/>
      <c r="X48" s="37"/>
      <c r="Y48" s="37"/>
      <c r="Z48" s="37"/>
      <c r="AA48" s="37"/>
      <c r="AB48" s="37"/>
      <c r="AC48" s="37"/>
      <c r="AD48" s="37"/>
      <c r="AE48" s="37"/>
      <c r="AF48" s="37"/>
    </row>
    <row r="49" spans="3:32" ht="16.5">
      <c r="C49" s="223" t="s">
        <v>48</v>
      </c>
      <c r="D49" s="224"/>
      <c r="E49" s="7" t="s">
        <v>49</v>
      </c>
      <c r="F49" s="8"/>
      <c r="G49" s="8"/>
      <c r="H49" s="8"/>
      <c r="I49" s="8"/>
      <c r="J49" s="8"/>
      <c r="K49" s="8"/>
      <c r="L49" s="8"/>
      <c r="M49" s="8"/>
      <c r="N49" s="23"/>
      <c r="T49" s="36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  <c r="AF49" s="37"/>
    </row>
    <row r="50" spans="3:32" ht="16.5">
      <c r="C50" s="225" t="s">
        <v>50</v>
      </c>
      <c r="D50" s="226"/>
      <c r="E50" s="7" t="s">
        <v>51</v>
      </c>
      <c r="F50" s="8"/>
      <c r="G50" s="8"/>
      <c r="H50" s="8"/>
      <c r="I50" s="8"/>
      <c r="J50" s="8"/>
      <c r="K50" s="8"/>
      <c r="L50" s="8"/>
      <c r="M50" s="8"/>
      <c r="N50" s="23"/>
      <c r="T50" s="36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</row>
    <row r="51" spans="3:32" ht="16.5">
      <c r="C51" s="223" t="s">
        <v>52</v>
      </c>
      <c r="D51" s="224"/>
      <c r="E51" s="7" t="s">
        <v>53</v>
      </c>
      <c r="F51" s="8"/>
      <c r="G51" s="8"/>
      <c r="H51" s="8"/>
      <c r="I51" s="8"/>
      <c r="J51" s="8"/>
      <c r="K51" s="8"/>
      <c r="L51" s="8"/>
      <c r="M51" s="8"/>
      <c r="N51" s="23"/>
      <c r="T51" s="36"/>
      <c r="U51" s="37"/>
      <c r="V51" s="37"/>
      <c r="W51" s="37"/>
      <c r="X51" s="37"/>
      <c r="Y51" s="37"/>
      <c r="Z51" s="37"/>
      <c r="AA51" s="37"/>
      <c r="AB51" s="37"/>
      <c r="AC51" s="37"/>
      <c r="AD51" s="37"/>
      <c r="AE51" s="37"/>
      <c r="AF51" s="37"/>
    </row>
    <row r="52" spans="3:32" ht="15.75">
      <c r="C52" s="227" t="s">
        <v>1095</v>
      </c>
      <c r="D52" s="228"/>
      <c r="E52" s="228"/>
      <c r="F52" s="228"/>
      <c r="G52" s="228"/>
      <c r="H52" s="228"/>
      <c r="I52" s="228"/>
      <c r="J52" s="228"/>
      <c r="K52" s="228"/>
      <c r="L52" s="228"/>
      <c r="M52" s="228"/>
      <c r="N52" s="229"/>
      <c r="T52" s="36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37"/>
      <c r="AF52" s="37"/>
    </row>
    <row r="53" spans="3:32" ht="15.75">
      <c r="C53" s="11" t="s">
        <v>55</v>
      </c>
      <c r="E53" s="12"/>
      <c r="F53" s="12"/>
      <c r="G53" s="12"/>
      <c r="H53" s="12"/>
      <c r="I53" s="24" t="s">
        <v>56</v>
      </c>
      <c r="J53" s="25"/>
      <c r="K53" s="12"/>
      <c r="L53" s="12"/>
      <c r="M53" s="12"/>
      <c r="N53" s="26"/>
      <c r="T53" s="36"/>
      <c r="U53" s="37"/>
      <c r="V53" s="37"/>
      <c r="W53" s="37"/>
      <c r="X53" s="37"/>
      <c r="Y53" s="37"/>
      <c r="Z53" s="37"/>
      <c r="AA53" s="37"/>
      <c r="AB53" s="37"/>
      <c r="AC53" s="37"/>
      <c r="AD53" s="37"/>
      <c r="AE53" s="37"/>
      <c r="AF53" s="37"/>
    </row>
    <row r="54" spans="3:32">
      <c r="C54" s="217"/>
      <c r="D54" s="218"/>
      <c r="E54" s="218"/>
      <c r="F54" s="218"/>
      <c r="G54" s="218"/>
      <c r="H54" s="218"/>
      <c r="I54" s="218"/>
      <c r="J54" s="218"/>
      <c r="K54" s="218"/>
      <c r="L54" s="218"/>
      <c r="M54" s="218"/>
      <c r="N54" s="219"/>
      <c r="T54" s="36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  <c r="AF54" s="37"/>
    </row>
    <row r="55" spans="3:32" ht="15.75">
      <c r="C55" s="15" t="s">
        <v>103</v>
      </c>
      <c r="D55" s="355"/>
      <c r="E55" s="356"/>
      <c r="F55" s="356"/>
      <c r="G55" s="356"/>
      <c r="H55" s="357"/>
      <c r="I55" s="368" t="s">
        <v>542</v>
      </c>
      <c r="J55" s="369"/>
      <c r="K55" s="369"/>
      <c r="L55" s="369"/>
      <c r="M55" s="369"/>
      <c r="N55" s="370"/>
      <c r="T55" s="36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  <c r="AF55" s="37"/>
    </row>
    <row r="56" spans="3:32">
      <c r="C56" s="329" t="s">
        <v>59</v>
      </c>
      <c r="D56" s="209" t="s">
        <v>60</v>
      </c>
      <c r="E56" s="209" t="s">
        <v>659</v>
      </c>
      <c r="F56" s="209" t="s">
        <v>62</v>
      </c>
      <c r="G56" s="209" t="s">
        <v>63</v>
      </c>
      <c r="H56" s="209" t="s">
        <v>64</v>
      </c>
      <c r="I56" s="209" t="s">
        <v>65</v>
      </c>
      <c r="J56" s="342" t="s">
        <v>66</v>
      </c>
      <c r="K56" s="343"/>
      <c r="L56" s="344"/>
      <c r="M56" s="209" t="s">
        <v>30</v>
      </c>
      <c r="N56" s="328" t="s">
        <v>67</v>
      </c>
      <c r="T56" s="36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  <c r="AF56" s="37"/>
    </row>
    <row r="57" spans="3:32" ht="60">
      <c r="C57" s="359"/>
      <c r="D57" s="292"/>
      <c r="E57" s="292"/>
      <c r="F57" s="292"/>
      <c r="G57" s="292"/>
      <c r="H57" s="292"/>
      <c r="I57" s="292"/>
      <c r="J57" s="17" t="s">
        <v>68</v>
      </c>
      <c r="K57" s="28" t="s">
        <v>999</v>
      </c>
      <c r="L57" s="17" t="s">
        <v>70</v>
      </c>
      <c r="M57" s="292"/>
      <c r="N57" s="360"/>
      <c r="T57" s="36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  <c r="AF57" s="37"/>
    </row>
    <row r="58" spans="3:32">
      <c r="C58" s="18">
        <v>1</v>
      </c>
      <c r="D58" s="18" t="s">
        <v>71</v>
      </c>
      <c r="E58" s="29">
        <v>63</v>
      </c>
      <c r="F58" s="29" t="s">
        <v>665</v>
      </c>
      <c r="G58" s="29" t="s">
        <v>115</v>
      </c>
      <c r="H58" s="29">
        <v>2.8</v>
      </c>
      <c r="I58" s="29" t="s">
        <v>276</v>
      </c>
      <c r="J58" s="18">
        <v>1.7</v>
      </c>
      <c r="K58" s="30">
        <v>3.1</v>
      </c>
      <c r="L58" s="18">
        <v>4.8</v>
      </c>
      <c r="M58" s="16"/>
      <c r="N58" s="16"/>
      <c r="T58" s="36"/>
      <c r="U58" s="37"/>
      <c r="V58" s="37"/>
      <c r="W58" s="37"/>
      <c r="X58" s="37"/>
      <c r="Y58" s="37"/>
      <c r="Z58" s="37"/>
      <c r="AA58" s="37"/>
      <c r="AB58" s="37"/>
      <c r="AC58" s="37"/>
      <c r="AD58" s="37"/>
      <c r="AE58" s="37"/>
      <c r="AF58" s="37"/>
    </row>
    <row r="59" spans="3:32">
      <c r="C59" s="18">
        <f>1+C58</f>
        <v>2</v>
      </c>
      <c r="D59" s="18" t="s">
        <v>71</v>
      </c>
      <c r="E59" s="29">
        <v>63</v>
      </c>
      <c r="F59" s="29" t="s">
        <v>665</v>
      </c>
      <c r="G59" s="29" t="s">
        <v>115</v>
      </c>
      <c r="H59" s="29">
        <v>106.9</v>
      </c>
      <c r="I59" s="29" t="s">
        <v>276</v>
      </c>
      <c r="J59" s="18">
        <v>1.7</v>
      </c>
      <c r="K59" s="30">
        <v>3.1</v>
      </c>
      <c r="L59" s="18">
        <v>4.8</v>
      </c>
      <c r="M59" s="16"/>
      <c r="N59" s="16"/>
      <c r="T59" s="36"/>
      <c r="U59" s="37"/>
      <c r="V59" s="37"/>
      <c r="W59" s="37"/>
      <c r="X59" s="37"/>
      <c r="Y59" s="37"/>
      <c r="Z59" s="37"/>
      <c r="AA59" s="37"/>
      <c r="AB59" s="37"/>
      <c r="AC59" s="37"/>
      <c r="AD59" s="37"/>
      <c r="AE59" s="37"/>
      <c r="AF59" s="37"/>
    </row>
    <row r="60" spans="3:32">
      <c r="C60" s="18">
        <f t="shared" ref="C60:C108" si="1">1+C59</f>
        <v>3</v>
      </c>
      <c r="D60" s="18" t="s">
        <v>71</v>
      </c>
      <c r="E60" s="29">
        <v>90</v>
      </c>
      <c r="F60" s="29" t="s">
        <v>665</v>
      </c>
      <c r="G60" s="29" t="s">
        <v>237</v>
      </c>
      <c r="H60" s="29">
        <v>13.7</v>
      </c>
      <c r="I60" s="29" t="s">
        <v>276</v>
      </c>
      <c r="J60" s="18">
        <v>1.7</v>
      </c>
      <c r="K60" s="30">
        <v>3.1</v>
      </c>
      <c r="L60" s="18">
        <v>4.8</v>
      </c>
      <c r="M60" s="16"/>
      <c r="N60" s="16"/>
      <c r="T60" s="36"/>
      <c r="U60" s="37"/>
      <c r="V60" s="37"/>
      <c r="W60" s="37"/>
      <c r="X60" s="37"/>
      <c r="Y60" s="37"/>
      <c r="Z60" s="37"/>
      <c r="AA60" s="37"/>
      <c r="AB60" s="37"/>
      <c r="AC60" s="37"/>
      <c r="AD60" s="37"/>
      <c r="AE60" s="37"/>
      <c r="AF60" s="37"/>
    </row>
    <row r="61" spans="3:32">
      <c r="C61" s="18">
        <f t="shared" si="1"/>
        <v>4</v>
      </c>
      <c r="D61" s="18" t="s">
        <v>71</v>
      </c>
      <c r="E61" s="29">
        <v>90</v>
      </c>
      <c r="F61" s="29" t="s">
        <v>237</v>
      </c>
      <c r="G61" s="29" t="s">
        <v>84</v>
      </c>
      <c r="H61" s="29">
        <v>11.3</v>
      </c>
      <c r="I61" s="29" t="s">
        <v>276</v>
      </c>
      <c r="J61" s="18">
        <v>1.7</v>
      </c>
      <c r="K61" s="30">
        <v>3.1</v>
      </c>
      <c r="L61" s="18">
        <v>4.8</v>
      </c>
      <c r="M61" s="16"/>
      <c r="N61" s="16"/>
      <c r="T61" s="36"/>
      <c r="U61" s="37"/>
      <c r="V61" s="37"/>
      <c r="W61" s="37"/>
      <c r="X61" s="37"/>
      <c r="Y61" s="37"/>
      <c r="Z61" s="37"/>
      <c r="AA61" s="37"/>
      <c r="AB61" s="37"/>
      <c r="AC61" s="37"/>
      <c r="AD61" s="37"/>
      <c r="AE61" s="37"/>
      <c r="AF61" s="37"/>
    </row>
    <row r="62" spans="3:32">
      <c r="C62" s="18">
        <f t="shared" si="1"/>
        <v>5</v>
      </c>
      <c r="D62" s="18" t="s">
        <v>71</v>
      </c>
      <c r="E62" s="29">
        <v>75</v>
      </c>
      <c r="F62" s="29" t="s">
        <v>237</v>
      </c>
      <c r="G62" s="29" t="s">
        <v>389</v>
      </c>
      <c r="H62" s="29">
        <v>3.1</v>
      </c>
      <c r="I62" s="29" t="s">
        <v>276</v>
      </c>
      <c r="J62" s="18">
        <v>1.7</v>
      </c>
      <c r="K62" s="30">
        <v>3.1</v>
      </c>
      <c r="L62" s="18">
        <v>4.8</v>
      </c>
      <c r="M62" s="16"/>
      <c r="N62" s="16"/>
      <c r="T62" s="36"/>
      <c r="U62" s="37"/>
      <c r="V62" s="37"/>
      <c r="W62" s="37"/>
      <c r="X62" s="37"/>
      <c r="Y62" s="37"/>
      <c r="Z62" s="37"/>
      <c r="AA62" s="37"/>
      <c r="AB62" s="37"/>
      <c r="AC62" s="37"/>
      <c r="AD62" s="37"/>
      <c r="AE62" s="37"/>
      <c r="AF62" s="37"/>
    </row>
    <row r="63" spans="3:32">
      <c r="C63" s="18">
        <f t="shared" si="1"/>
        <v>6</v>
      </c>
      <c r="D63" s="18" t="s">
        <v>71</v>
      </c>
      <c r="E63" s="29">
        <v>63</v>
      </c>
      <c r="F63" s="29" t="s">
        <v>389</v>
      </c>
      <c r="G63" s="29" t="s">
        <v>1098</v>
      </c>
      <c r="H63" s="29">
        <v>30.3</v>
      </c>
      <c r="I63" s="29" t="s">
        <v>276</v>
      </c>
      <c r="J63" s="18">
        <v>1.7</v>
      </c>
      <c r="K63" s="30">
        <v>3.1</v>
      </c>
      <c r="L63" s="18">
        <v>4.8</v>
      </c>
      <c r="M63" s="16"/>
      <c r="N63" s="16"/>
      <c r="T63" s="36"/>
      <c r="U63" s="37"/>
      <c r="V63" s="37"/>
      <c r="W63" s="37"/>
      <c r="X63" s="37"/>
      <c r="Y63" s="37"/>
      <c r="Z63" s="37"/>
      <c r="AA63" s="37"/>
      <c r="AB63" s="37"/>
      <c r="AC63" s="37"/>
      <c r="AD63" s="37"/>
      <c r="AE63" s="37"/>
      <c r="AF63" s="37"/>
    </row>
    <row r="64" spans="3:32">
      <c r="C64" s="18">
        <f t="shared" si="1"/>
        <v>7</v>
      </c>
      <c r="D64" s="18" t="s">
        <v>71</v>
      </c>
      <c r="E64" s="29">
        <v>75</v>
      </c>
      <c r="F64" s="29" t="s">
        <v>237</v>
      </c>
      <c r="G64" s="29" t="s">
        <v>195</v>
      </c>
      <c r="H64" s="29">
        <v>41.9</v>
      </c>
      <c r="I64" s="29" t="s">
        <v>276</v>
      </c>
      <c r="J64" s="18">
        <v>1.7</v>
      </c>
      <c r="K64" s="30">
        <v>3.1</v>
      </c>
      <c r="L64" s="18">
        <v>4.8</v>
      </c>
      <c r="M64" s="16"/>
      <c r="N64" s="16"/>
      <c r="T64" s="36"/>
      <c r="U64" s="37"/>
      <c r="V64" s="37"/>
      <c r="W64" s="37"/>
      <c r="X64" s="37"/>
      <c r="Y64" s="37"/>
      <c r="Z64" s="37"/>
      <c r="AA64" s="37"/>
      <c r="AB64" s="37"/>
      <c r="AC64" s="37"/>
      <c r="AD64" s="37"/>
      <c r="AE64" s="37"/>
      <c r="AF64" s="37"/>
    </row>
    <row r="65" spans="3:32">
      <c r="C65" s="18">
        <f t="shared" si="1"/>
        <v>8</v>
      </c>
      <c r="D65" s="18" t="s">
        <v>71</v>
      </c>
      <c r="E65" s="29">
        <v>75</v>
      </c>
      <c r="F65" s="29" t="s">
        <v>389</v>
      </c>
      <c r="G65" s="29" t="s">
        <v>195</v>
      </c>
      <c r="H65" s="29">
        <v>8.4</v>
      </c>
      <c r="I65" s="29" t="s">
        <v>276</v>
      </c>
      <c r="J65" s="18">
        <v>1.7</v>
      </c>
      <c r="K65" s="30">
        <v>3.1</v>
      </c>
      <c r="L65" s="18">
        <v>4.8</v>
      </c>
      <c r="M65" s="16"/>
      <c r="N65" s="16"/>
      <c r="T65" s="36"/>
      <c r="U65" s="37"/>
      <c r="V65" s="37"/>
      <c r="W65" s="37"/>
      <c r="X65" s="37"/>
      <c r="Y65" s="37"/>
      <c r="Z65" s="37"/>
      <c r="AA65" s="37"/>
      <c r="AB65" s="37"/>
      <c r="AC65" s="37"/>
      <c r="AD65" s="37"/>
      <c r="AE65" s="37"/>
      <c r="AF65" s="37"/>
    </row>
    <row r="66" spans="3:32">
      <c r="C66" s="18">
        <f t="shared" si="1"/>
        <v>9</v>
      </c>
      <c r="D66" s="18" t="s">
        <v>71</v>
      </c>
      <c r="E66" s="29">
        <v>75</v>
      </c>
      <c r="F66" s="29" t="s">
        <v>84</v>
      </c>
      <c r="G66" s="29" t="s">
        <v>318</v>
      </c>
      <c r="H66" s="29">
        <v>36.6</v>
      </c>
      <c r="I66" s="29" t="s">
        <v>276</v>
      </c>
      <c r="J66" s="18">
        <v>1.7</v>
      </c>
      <c r="K66" s="30">
        <v>3.1</v>
      </c>
      <c r="L66" s="18">
        <v>4.8</v>
      </c>
      <c r="M66" s="16"/>
      <c r="N66" s="16"/>
      <c r="T66" s="36"/>
      <c r="U66" s="37"/>
      <c r="V66" s="37"/>
      <c r="W66" s="37"/>
      <c r="X66" s="37"/>
      <c r="Y66" s="37"/>
      <c r="Z66" s="37"/>
      <c r="AA66" s="37"/>
      <c r="AB66" s="37"/>
      <c r="AC66" s="37"/>
      <c r="AD66" s="37"/>
      <c r="AE66" s="37"/>
      <c r="AF66" s="37"/>
    </row>
    <row r="67" spans="3:32">
      <c r="C67" s="18">
        <f t="shared" si="1"/>
        <v>10</v>
      </c>
      <c r="D67" s="18" t="s">
        <v>71</v>
      </c>
      <c r="E67" s="29">
        <v>75</v>
      </c>
      <c r="F67" s="29" t="s">
        <v>318</v>
      </c>
      <c r="G67" s="29" t="s">
        <v>382</v>
      </c>
      <c r="H67" s="29">
        <v>2.6</v>
      </c>
      <c r="I67" s="29" t="s">
        <v>276</v>
      </c>
      <c r="J67" s="18">
        <v>1.7</v>
      </c>
      <c r="K67" s="30">
        <v>3.1</v>
      </c>
      <c r="L67" s="18">
        <v>4.8</v>
      </c>
      <c r="M67" s="16"/>
      <c r="N67" s="16"/>
      <c r="T67" s="36"/>
      <c r="U67" s="37"/>
      <c r="V67" s="37"/>
      <c r="W67" s="37"/>
      <c r="X67" s="37"/>
      <c r="Y67" s="37"/>
      <c r="Z67" s="37"/>
      <c r="AA67" s="37"/>
      <c r="AB67" s="37"/>
      <c r="AC67" s="37"/>
      <c r="AD67" s="37"/>
      <c r="AE67" s="37"/>
      <c r="AF67" s="37"/>
    </row>
    <row r="68" spans="3:32">
      <c r="C68" s="18">
        <f t="shared" si="1"/>
        <v>11</v>
      </c>
      <c r="D68" s="18" t="s">
        <v>71</v>
      </c>
      <c r="E68" s="29">
        <v>75</v>
      </c>
      <c r="F68" s="29" t="s">
        <v>318</v>
      </c>
      <c r="G68" s="29" t="s">
        <v>382</v>
      </c>
      <c r="H68" s="29">
        <v>47.7</v>
      </c>
      <c r="I68" s="29" t="s">
        <v>276</v>
      </c>
      <c r="J68" s="18">
        <v>1.7</v>
      </c>
      <c r="K68" s="30">
        <v>3.1</v>
      </c>
      <c r="L68" s="18">
        <v>4.8</v>
      </c>
      <c r="M68" s="16"/>
      <c r="N68" s="16"/>
      <c r="T68" s="36"/>
      <c r="U68" s="37"/>
      <c r="V68" s="37"/>
      <c r="W68" s="37"/>
      <c r="X68" s="37"/>
      <c r="Y68" s="37"/>
      <c r="Z68" s="37"/>
      <c r="AA68" s="37"/>
      <c r="AB68" s="37"/>
      <c r="AC68" s="37"/>
      <c r="AD68" s="37"/>
      <c r="AE68" s="37"/>
      <c r="AF68" s="37"/>
    </row>
    <row r="69" spans="3:32">
      <c r="C69" s="18">
        <f t="shared" si="1"/>
        <v>12</v>
      </c>
      <c r="D69" s="18" t="s">
        <v>71</v>
      </c>
      <c r="E69" s="29">
        <v>75</v>
      </c>
      <c r="F69" s="29" t="s">
        <v>318</v>
      </c>
      <c r="G69" s="29" t="s">
        <v>214</v>
      </c>
      <c r="H69" s="29">
        <v>77.7</v>
      </c>
      <c r="I69" s="29" t="s">
        <v>276</v>
      </c>
      <c r="J69" s="18">
        <v>1.7</v>
      </c>
      <c r="K69" s="30">
        <v>3.1</v>
      </c>
      <c r="L69" s="18">
        <v>4.8</v>
      </c>
      <c r="M69" s="16"/>
      <c r="N69" s="16"/>
      <c r="T69" s="36"/>
      <c r="U69" s="37"/>
      <c r="V69" s="37"/>
      <c r="W69" s="37"/>
      <c r="X69" s="37"/>
      <c r="Y69" s="37"/>
      <c r="Z69" s="37"/>
      <c r="AA69" s="37"/>
      <c r="AB69" s="37"/>
      <c r="AC69" s="37"/>
      <c r="AD69" s="37"/>
      <c r="AE69" s="37"/>
      <c r="AF69" s="37"/>
    </row>
    <row r="70" spans="3:32">
      <c r="C70" s="18">
        <f t="shared" si="1"/>
        <v>13</v>
      </c>
      <c r="D70" s="18" t="s">
        <v>71</v>
      </c>
      <c r="E70" s="29">
        <v>75</v>
      </c>
      <c r="F70" s="29" t="s">
        <v>318</v>
      </c>
      <c r="G70" s="29" t="s">
        <v>214</v>
      </c>
      <c r="H70" s="29">
        <v>3.2</v>
      </c>
      <c r="I70" s="29" t="s">
        <v>276</v>
      </c>
      <c r="J70" s="18">
        <v>1.7</v>
      </c>
      <c r="K70" s="30">
        <v>3.1</v>
      </c>
      <c r="L70" s="18">
        <v>4.8</v>
      </c>
      <c r="M70" s="16"/>
      <c r="N70" s="16"/>
      <c r="T70" s="36"/>
      <c r="U70" s="37"/>
      <c r="V70" s="37"/>
      <c r="W70" s="37"/>
      <c r="X70" s="37"/>
      <c r="Y70" s="37"/>
      <c r="Z70" s="37"/>
      <c r="AA70" s="37"/>
      <c r="AB70" s="37"/>
      <c r="AC70" s="37"/>
      <c r="AD70" s="37"/>
      <c r="AE70" s="37"/>
      <c r="AF70" s="37"/>
    </row>
    <row r="71" spans="3:32">
      <c r="C71" s="18">
        <f t="shared" si="1"/>
        <v>14</v>
      </c>
      <c r="D71" s="18" t="s">
        <v>71</v>
      </c>
      <c r="E71" s="29">
        <v>63</v>
      </c>
      <c r="F71" s="29" t="s">
        <v>214</v>
      </c>
      <c r="G71" s="29" t="s">
        <v>206</v>
      </c>
      <c r="H71" s="29">
        <v>67.400000000000006</v>
      </c>
      <c r="I71" s="29" t="s">
        <v>276</v>
      </c>
      <c r="J71" s="18">
        <v>1.7</v>
      </c>
      <c r="K71" s="30">
        <v>3.1</v>
      </c>
      <c r="L71" s="18">
        <v>4.8</v>
      </c>
      <c r="M71" s="16"/>
      <c r="N71" s="16"/>
      <c r="T71" s="36"/>
      <c r="U71" s="37"/>
      <c r="V71" s="37"/>
      <c r="W71" s="37"/>
      <c r="X71" s="37"/>
      <c r="Y71" s="37"/>
      <c r="Z71" s="37"/>
      <c r="AA71" s="37"/>
      <c r="AB71" s="37"/>
      <c r="AC71" s="37"/>
      <c r="AD71" s="37"/>
      <c r="AE71" s="37"/>
      <c r="AF71" s="37"/>
    </row>
    <row r="72" spans="3:32">
      <c r="C72" s="18">
        <f t="shared" si="1"/>
        <v>15</v>
      </c>
      <c r="D72" s="18" t="s">
        <v>71</v>
      </c>
      <c r="E72" s="29">
        <v>63</v>
      </c>
      <c r="F72" s="29" t="s">
        <v>206</v>
      </c>
      <c r="G72" s="29" t="s">
        <v>381</v>
      </c>
      <c r="H72" s="29">
        <v>57</v>
      </c>
      <c r="I72" s="29" t="s">
        <v>276</v>
      </c>
      <c r="J72" s="18">
        <v>1.7</v>
      </c>
      <c r="K72" s="30">
        <v>3.1</v>
      </c>
      <c r="L72" s="18">
        <v>4.8</v>
      </c>
      <c r="M72" s="16"/>
      <c r="N72" s="16"/>
      <c r="T72" s="36"/>
      <c r="U72" s="37"/>
      <c r="V72" s="37"/>
      <c r="W72" s="37"/>
      <c r="X72" s="37"/>
      <c r="Y72" s="37"/>
      <c r="Z72" s="37"/>
      <c r="AA72" s="37"/>
      <c r="AB72" s="37"/>
      <c r="AC72" s="37"/>
      <c r="AD72" s="37"/>
      <c r="AE72" s="37"/>
      <c r="AF72" s="37"/>
    </row>
    <row r="73" spans="3:32">
      <c r="C73" s="18">
        <f t="shared" si="1"/>
        <v>16</v>
      </c>
      <c r="D73" s="18" t="s">
        <v>71</v>
      </c>
      <c r="E73" s="29">
        <v>63</v>
      </c>
      <c r="F73" s="29" t="s">
        <v>229</v>
      </c>
      <c r="G73" s="29" t="s">
        <v>754</v>
      </c>
      <c r="H73" s="29">
        <v>58.2</v>
      </c>
      <c r="I73" s="29" t="s">
        <v>276</v>
      </c>
      <c r="J73" s="18">
        <v>1.7</v>
      </c>
      <c r="K73" s="30">
        <v>3.1</v>
      </c>
      <c r="L73" s="18">
        <v>4.8</v>
      </c>
      <c r="M73" s="16"/>
      <c r="N73" s="16"/>
      <c r="T73" s="36"/>
      <c r="U73" s="37"/>
      <c r="V73" s="37"/>
      <c r="W73" s="37"/>
      <c r="X73" s="37"/>
      <c r="Y73" s="37"/>
      <c r="Z73" s="37"/>
      <c r="AA73" s="37"/>
      <c r="AB73" s="37"/>
      <c r="AC73" s="37"/>
      <c r="AD73" s="37"/>
      <c r="AE73" s="37"/>
      <c r="AF73" s="37"/>
    </row>
    <row r="74" spans="3:32">
      <c r="C74" s="18">
        <f t="shared" si="1"/>
        <v>17</v>
      </c>
      <c r="D74" s="18" t="s">
        <v>71</v>
      </c>
      <c r="E74" s="29">
        <v>63</v>
      </c>
      <c r="F74" s="29" t="s">
        <v>206</v>
      </c>
      <c r="G74" s="29" t="s">
        <v>793</v>
      </c>
      <c r="H74" s="29">
        <v>41</v>
      </c>
      <c r="I74" s="29" t="s">
        <v>276</v>
      </c>
      <c r="J74" s="18">
        <v>1.7</v>
      </c>
      <c r="K74" s="30">
        <v>3.1</v>
      </c>
      <c r="L74" s="18">
        <v>4.8</v>
      </c>
      <c r="M74" s="16"/>
      <c r="N74" s="16"/>
      <c r="T74" s="36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</row>
    <row r="75" spans="3:32">
      <c r="C75" s="18">
        <f t="shared" si="1"/>
        <v>18</v>
      </c>
      <c r="D75" s="18" t="s">
        <v>71</v>
      </c>
      <c r="E75" s="29">
        <v>63</v>
      </c>
      <c r="F75" s="29" t="s">
        <v>793</v>
      </c>
      <c r="G75" s="29" t="s">
        <v>235</v>
      </c>
      <c r="H75" s="29">
        <v>30.3</v>
      </c>
      <c r="I75" s="29" t="s">
        <v>276</v>
      </c>
      <c r="J75" s="18">
        <v>1.7</v>
      </c>
      <c r="K75" s="30">
        <v>3.1</v>
      </c>
      <c r="L75" s="18">
        <v>4.8</v>
      </c>
      <c r="M75" s="16"/>
      <c r="N75" s="16"/>
      <c r="T75" s="36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</row>
    <row r="76" spans="3:32">
      <c r="C76" s="18">
        <f t="shared" si="1"/>
        <v>19</v>
      </c>
      <c r="D76" s="18" t="s">
        <v>71</v>
      </c>
      <c r="E76" s="29">
        <v>63</v>
      </c>
      <c r="F76" s="29" t="s">
        <v>793</v>
      </c>
      <c r="G76" s="29" t="s">
        <v>168</v>
      </c>
      <c r="H76" s="29">
        <v>74</v>
      </c>
      <c r="I76" s="29" t="s">
        <v>276</v>
      </c>
      <c r="J76" s="18">
        <v>1.7</v>
      </c>
      <c r="K76" s="30">
        <v>3.1</v>
      </c>
      <c r="L76" s="18">
        <v>4.8</v>
      </c>
      <c r="M76" s="16"/>
      <c r="N76" s="16"/>
      <c r="T76" s="36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</row>
    <row r="77" spans="3:32">
      <c r="C77" s="18">
        <f t="shared" si="1"/>
        <v>20</v>
      </c>
      <c r="D77" s="18" t="s">
        <v>71</v>
      </c>
      <c r="E77" s="29">
        <v>75</v>
      </c>
      <c r="F77" s="29" t="s">
        <v>214</v>
      </c>
      <c r="G77" s="29" t="s">
        <v>1099</v>
      </c>
      <c r="H77" s="29">
        <v>18.8</v>
      </c>
      <c r="I77" s="29" t="s">
        <v>276</v>
      </c>
      <c r="J77" s="18">
        <v>1.7</v>
      </c>
      <c r="K77" s="30">
        <v>3.1</v>
      </c>
      <c r="L77" s="18">
        <v>4.8</v>
      </c>
      <c r="M77" s="16"/>
      <c r="N77" s="16"/>
      <c r="T77" s="36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</row>
    <row r="78" spans="3:32">
      <c r="C78" s="18">
        <f t="shared" si="1"/>
        <v>21</v>
      </c>
      <c r="D78" s="18" t="s">
        <v>71</v>
      </c>
      <c r="E78" s="29">
        <v>63</v>
      </c>
      <c r="F78" s="29" t="s">
        <v>1099</v>
      </c>
      <c r="G78" s="29" t="s">
        <v>1100</v>
      </c>
      <c r="H78" s="29">
        <v>41</v>
      </c>
      <c r="I78" s="29" t="s">
        <v>276</v>
      </c>
      <c r="J78" s="18">
        <v>1.7</v>
      </c>
      <c r="K78" s="30">
        <v>3.1</v>
      </c>
      <c r="L78" s="18">
        <v>4.8</v>
      </c>
      <c r="M78" s="16"/>
      <c r="N78" s="16"/>
      <c r="T78" s="36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</row>
    <row r="79" spans="3:32">
      <c r="C79" s="18">
        <f t="shared" si="1"/>
        <v>22</v>
      </c>
      <c r="D79" s="18" t="s">
        <v>71</v>
      </c>
      <c r="E79" s="29">
        <v>63</v>
      </c>
      <c r="F79" s="29" t="s">
        <v>1100</v>
      </c>
      <c r="G79" s="29" t="s">
        <v>294</v>
      </c>
      <c r="H79" s="29">
        <v>67.599999999999994</v>
      </c>
      <c r="I79" s="29" t="s">
        <v>276</v>
      </c>
      <c r="J79" s="18">
        <v>1.7</v>
      </c>
      <c r="K79" s="30">
        <v>3.1</v>
      </c>
      <c r="L79" s="18">
        <v>4.8</v>
      </c>
      <c r="M79" s="16"/>
      <c r="N79" s="16"/>
      <c r="T79" s="36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</row>
    <row r="80" spans="3:32">
      <c r="C80" s="18">
        <f t="shared" si="1"/>
        <v>23</v>
      </c>
      <c r="D80" s="18" t="s">
        <v>71</v>
      </c>
      <c r="E80" s="29">
        <v>63</v>
      </c>
      <c r="F80" s="29" t="s">
        <v>1100</v>
      </c>
      <c r="G80" s="29" t="s">
        <v>294</v>
      </c>
      <c r="H80" s="29">
        <v>17.5</v>
      </c>
      <c r="I80" s="29" t="s">
        <v>276</v>
      </c>
      <c r="J80" s="18">
        <v>1.7</v>
      </c>
      <c r="K80" s="30">
        <v>3.1</v>
      </c>
      <c r="L80" s="18">
        <v>4.8</v>
      </c>
      <c r="M80" s="16"/>
      <c r="N80" s="16"/>
      <c r="T80" s="36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</row>
    <row r="81" spans="3:32">
      <c r="C81" s="18">
        <f t="shared" si="1"/>
        <v>24</v>
      </c>
      <c r="D81" s="18" t="s">
        <v>71</v>
      </c>
      <c r="E81" s="29">
        <v>63</v>
      </c>
      <c r="F81" s="29" t="s">
        <v>1100</v>
      </c>
      <c r="G81" s="29" t="s">
        <v>1101</v>
      </c>
      <c r="H81" s="29">
        <v>15.9</v>
      </c>
      <c r="I81" s="29" t="s">
        <v>276</v>
      </c>
      <c r="J81" s="18">
        <v>1.7</v>
      </c>
      <c r="K81" s="30">
        <v>3.1</v>
      </c>
      <c r="L81" s="18">
        <v>4.8</v>
      </c>
      <c r="M81" s="16"/>
      <c r="N81" s="16"/>
      <c r="T81" s="36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</row>
    <row r="82" spans="3:32">
      <c r="C82" s="18">
        <f t="shared" si="1"/>
        <v>25</v>
      </c>
      <c r="D82" s="18" t="s">
        <v>71</v>
      </c>
      <c r="E82" s="29">
        <v>63</v>
      </c>
      <c r="F82" s="29" t="s">
        <v>1101</v>
      </c>
      <c r="G82" s="29" t="s">
        <v>1102</v>
      </c>
      <c r="H82" s="29">
        <v>37</v>
      </c>
      <c r="I82" s="29" t="s">
        <v>276</v>
      </c>
      <c r="J82" s="18">
        <v>1.7</v>
      </c>
      <c r="K82" s="30">
        <v>3.1</v>
      </c>
      <c r="L82" s="18">
        <v>4.8</v>
      </c>
      <c r="M82" s="16"/>
      <c r="N82" s="16"/>
      <c r="T82" s="36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</row>
    <row r="83" spans="3:32">
      <c r="C83" s="18">
        <f t="shared" si="1"/>
        <v>26</v>
      </c>
      <c r="D83" s="18" t="s">
        <v>71</v>
      </c>
      <c r="E83" s="29">
        <v>63</v>
      </c>
      <c r="F83" s="29" t="s">
        <v>1101</v>
      </c>
      <c r="G83" s="29" t="s">
        <v>1103</v>
      </c>
      <c r="H83" s="29">
        <v>13</v>
      </c>
      <c r="I83" s="29" t="s">
        <v>276</v>
      </c>
      <c r="J83" s="18">
        <v>1.7</v>
      </c>
      <c r="K83" s="30">
        <v>3.1</v>
      </c>
      <c r="L83" s="18">
        <v>4.8</v>
      </c>
      <c r="M83" s="16"/>
      <c r="N83" s="16"/>
      <c r="T83" s="36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</row>
    <row r="84" spans="3:32">
      <c r="C84" s="18">
        <f t="shared" si="1"/>
        <v>27</v>
      </c>
      <c r="D84" s="18" t="s">
        <v>71</v>
      </c>
      <c r="E84" s="29">
        <v>63</v>
      </c>
      <c r="F84" s="29" t="s">
        <v>1103</v>
      </c>
      <c r="G84" s="29" t="s">
        <v>479</v>
      </c>
      <c r="H84" s="29">
        <v>21.5</v>
      </c>
      <c r="I84" s="29" t="s">
        <v>276</v>
      </c>
      <c r="J84" s="18">
        <v>1.7</v>
      </c>
      <c r="K84" s="30">
        <v>3.1</v>
      </c>
      <c r="L84" s="18">
        <v>4.8</v>
      </c>
      <c r="M84" s="16"/>
      <c r="N84" s="16"/>
      <c r="T84" s="36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</row>
    <row r="85" spans="3:32">
      <c r="C85" s="18">
        <f t="shared" si="1"/>
        <v>28</v>
      </c>
      <c r="D85" s="18" t="s">
        <v>71</v>
      </c>
      <c r="E85" s="29">
        <v>63</v>
      </c>
      <c r="F85" s="29" t="s">
        <v>1103</v>
      </c>
      <c r="G85" s="29" t="s">
        <v>1104</v>
      </c>
      <c r="H85" s="29">
        <v>23.6</v>
      </c>
      <c r="I85" s="29" t="s">
        <v>276</v>
      </c>
      <c r="J85" s="18">
        <v>1.7</v>
      </c>
      <c r="K85" s="30">
        <v>3.1</v>
      </c>
      <c r="L85" s="18">
        <v>4.8</v>
      </c>
      <c r="M85" s="16"/>
      <c r="N85" s="16"/>
      <c r="T85" s="36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</row>
    <row r="86" spans="3:32">
      <c r="C86" s="18">
        <f t="shared" si="1"/>
        <v>29</v>
      </c>
      <c r="D86" s="18" t="s">
        <v>71</v>
      </c>
      <c r="E86" s="29">
        <v>75</v>
      </c>
      <c r="F86" s="29" t="s">
        <v>1099</v>
      </c>
      <c r="G86" s="29" t="s">
        <v>123</v>
      </c>
      <c r="H86" s="29">
        <v>4</v>
      </c>
      <c r="I86" s="29" t="s">
        <v>276</v>
      </c>
      <c r="J86" s="18">
        <v>1.7</v>
      </c>
      <c r="K86" s="30">
        <v>3.1</v>
      </c>
      <c r="L86" s="18">
        <v>4.8</v>
      </c>
      <c r="M86" s="16"/>
      <c r="N86" s="16"/>
      <c r="T86" s="36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</row>
    <row r="87" spans="3:32">
      <c r="C87" s="18">
        <f t="shared" si="1"/>
        <v>30</v>
      </c>
      <c r="D87" s="18" t="s">
        <v>71</v>
      </c>
      <c r="E87" s="29">
        <v>75</v>
      </c>
      <c r="F87" s="29" t="s">
        <v>1099</v>
      </c>
      <c r="G87" s="29" t="s">
        <v>123</v>
      </c>
      <c r="H87" s="29">
        <v>49.5</v>
      </c>
      <c r="I87" s="29" t="s">
        <v>276</v>
      </c>
      <c r="J87" s="18">
        <v>1.7</v>
      </c>
      <c r="K87" s="30">
        <v>3.1</v>
      </c>
      <c r="L87" s="18">
        <v>4.8</v>
      </c>
      <c r="M87" s="16"/>
      <c r="N87" s="16"/>
      <c r="T87" s="36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</row>
    <row r="88" spans="3:32">
      <c r="C88" s="18">
        <f t="shared" si="1"/>
        <v>31</v>
      </c>
      <c r="D88" s="18" t="s">
        <v>71</v>
      </c>
      <c r="E88" s="29">
        <v>75</v>
      </c>
      <c r="F88" s="29" t="s">
        <v>1099</v>
      </c>
      <c r="G88" s="29" t="s">
        <v>123</v>
      </c>
      <c r="H88" s="29">
        <v>21.6</v>
      </c>
      <c r="I88" s="29" t="s">
        <v>276</v>
      </c>
      <c r="J88" s="18">
        <v>1.7</v>
      </c>
      <c r="K88" s="30">
        <v>3.1</v>
      </c>
      <c r="L88" s="18">
        <v>4.8</v>
      </c>
      <c r="M88" s="16"/>
      <c r="N88" s="16"/>
      <c r="T88" s="36"/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  <c r="AF88" s="37"/>
    </row>
    <row r="89" spans="3:32">
      <c r="C89" s="18">
        <f t="shared" si="1"/>
        <v>32</v>
      </c>
      <c r="D89" s="18" t="s">
        <v>71</v>
      </c>
      <c r="E89" s="29">
        <v>75</v>
      </c>
      <c r="F89" s="29" t="s">
        <v>1099</v>
      </c>
      <c r="G89" s="29" t="s">
        <v>123</v>
      </c>
      <c r="H89" s="29">
        <v>50.3</v>
      </c>
      <c r="I89" s="29" t="s">
        <v>276</v>
      </c>
      <c r="J89" s="18">
        <v>1.7</v>
      </c>
      <c r="K89" s="30">
        <v>3.1</v>
      </c>
      <c r="L89" s="18">
        <v>4.8</v>
      </c>
      <c r="M89" s="16"/>
      <c r="N89" s="16"/>
      <c r="T89" s="36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  <c r="AF89" s="37"/>
    </row>
    <row r="90" spans="3:32">
      <c r="C90" s="18">
        <f t="shared" si="1"/>
        <v>33</v>
      </c>
      <c r="D90" s="18" t="s">
        <v>71</v>
      </c>
      <c r="E90" s="29">
        <v>75</v>
      </c>
      <c r="F90" s="29" t="s">
        <v>1099</v>
      </c>
      <c r="G90" s="29" t="s">
        <v>123</v>
      </c>
      <c r="H90" s="29">
        <v>41</v>
      </c>
      <c r="I90" s="29" t="s">
        <v>276</v>
      </c>
      <c r="J90" s="18">
        <v>1.7</v>
      </c>
      <c r="K90" s="30">
        <v>3.1</v>
      </c>
      <c r="L90" s="18">
        <v>4.8</v>
      </c>
      <c r="M90" s="16"/>
      <c r="N90" s="16"/>
      <c r="T90" s="36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  <c r="AF90" s="37"/>
    </row>
    <row r="91" spans="3:32">
      <c r="C91" s="18">
        <f t="shared" si="1"/>
        <v>34</v>
      </c>
      <c r="D91" s="18" t="s">
        <v>71</v>
      </c>
      <c r="E91" s="29">
        <v>75</v>
      </c>
      <c r="F91" s="29" t="s">
        <v>1099</v>
      </c>
      <c r="G91" s="29" t="s">
        <v>123</v>
      </c>
      <c r="H91" s="29">
        <v>203.3</v>
      </c>
      <c r="I91" s="29" t="s">
        <v>276</v>
      </c>
      <c r="J91" s="18">
        <v>1.7</v>
      </c>
      <c r="K91" s="30">
        <v>3.1</v>
      </c>
      <c r="L91" s="18">
        <v>4.8</v>
      </c>
      <c r="M91" s="16"/>
      <c r="N91" s="16"/>
      <c r="T91" s="36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  <c r="AF91" s="37"/>
    </row>
    <row r="92" spans="3:32">
      <c r="C92" s="18">
        <f t="shared" si="1"/>
        <v>35</v>
      </c>
      <c r="D92" s="18" t="s">
        <v>71</v>
      </c>
      <c r="E92" s="29">
        <v>63</v>
      </c>
      <c r="F92" s="29" t="s">
        <v>430</v>
      </c>
      <c r="G92" s="29" t="s">
        <v>430</v>
      </c>
      <c r="H92" s="29">
        <v>77.599999999999994</v>
      </c>
      <c r="I92" s="29" t="s">
        <v>276</v>
      </c>
      <c r="J92" s="18">
        <v>1.7</v>
      </c>
      <c r="K92" s="30">
        <v>3.1</v>
      </c>
      <c r="L92" s="18">
        <v>4.8</v>
      </c>
      <c r="M92" s="16"/>
      <c r="N92" s="16"/>
      <c r="T92" s="36"/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  <c r="AF92" s="37"/>
    </row>
    <row r="93" spans="3:32">
      <c r="C93" s="18">
        <f t="shared" si="1"/>
        <v>36</v>
      </c>
      <c r="D93" s="18" t="s">
        <v>71</v>
      </c>
      <c r="E93" s="29">
        <v>63</v>
      </c>
      <c r="F93" s="29" t="s">
        <v>430</v>
      </c>
      <c r="G93" s="29" t="s">
        <v>430</v>
      </c>
      <c r="H93" s="29">
        <v>238.4</v>
      </c>
      <c r="I93" s="29" t="s">
        <v>276</v>
      </c>
      <c r="J93" s="18">
        <v>1.7</v>
      </c>
      <c r="K93" s="30">
        <v>3.1</v>
      </c>
      <c r="L93" s="18">
        <v>4.8</v>
      </c>
      <c r="M93" s="16"/>
      <c r="N93" s="16"/>
      <c r="T93" s="36"/>
      <c r="U93" s="37"/>
      <c r="V93" s="37"/>
      <c r="W93" s="37"/>
      <c r="X93" s="37"/>
      <c r="Y93" s="37"/>
      <c r="Z93" s="37"/>
      <c r="AA93" s="37"/>
      <c r="AB93" s="37"/>
      <c r="AC93" s="37"/>
      <c r="AD93" s="37"/>
      <c r="AE93" s="37"/>
      <c r="AF93" s="37"/>
    </row>
    <row r="94" spans="3:32">
      <c r="C94" s="18">
        <f t="shared" si="1"/>
        <v>37</v>
      </c>
      <c r="D94" s="18" t="s">
        <v>71</v>
      </c>
      <c r="E94" s="29">
        <v>63</v>
      </c>
      <c r="F94" s="29" t="s">
        <v>429</v>
      </c>
      <c r="G94" s="29" t="s">
        <v>223</v>
      </c>
      <c r="H94" s="29">
        <v>55.4</v>
      </c>
      <c r="I94" s="29" t="s">
        <v>276</v>
      </c>
      <c r="J94" s="18">
        <v>1.7</v>
      </c>
      <c r="K94" s="30">
        <v>3.1</v>
      </c>
      <c r="L94" s="18">
        <v>4.8</v>
      </c>
      <c r="M94" s="16"/>
      <c r="N94" s="16"/>
      <c r="T94" s="36"/>
      <c r="U94" s="37"/>
      <c r="V94" s="37"/>
      <c r="W94" s="37"/>
      <c r="X94" s="37"/>
      <c r="Y94" s="37"/>
      <c r="Z94" s="37"/>
      <c r="AA94" s="37"/>
      <c r="AB94" s="37"/>
      <c r="AC94" s="37"/>
      <c r="AD94" s="37"/>
      <c r="AE94" s="37"/>
      <c r="AF94" s="37"/>
    </row>
    <row r="95" spans="3:32">
      <c r="C95" s="18">
        <f t="shared" si="1"/>
        <v>38</v>
      </c>
      <c r="D95" s="18" t="s">
        <v>71</v>
      </c>
      <c r="E95" s="29">
        <v>63</v>
      </c>
      <c r="F95" s="29" t="s">
        <v>429</v>
      </c>
      <c r="G95" s="29" t="s">
        <v>83</v>
      </c>
      <c r="H95" s="29">
        <v>276.8</v>
      </c>
      <c r="I95" s="29" t="s">
        <v>276</v>
      </c>
      <c r="J95" s="18">
        <v>1.7</v>
      </c>
      <c r="K95" s="30">
        <v>3.1</v>
      </c>
      <c r="L95" s="18">
        <v>4.8</v>
      </c>
      <c r="M95" s="16"/>
      <c r="N95" s="16"/>
      <c r="T95" s="36"/>
      <c r="U95" s="37"/>
      <c r="V95" s="37"/>
      <c r="W95" s="37"/>
      <c r="X95" s="37"/>
      <c r="Y95" s="37"/>
      <c r="Z95" s="37"/>
      <c r="AA95" s="37"/>
      <c r="AB95" s="37"/>
      <c r="AC95" s="37"/>
      <c r="AD95" s="37"/>
      <c r="AE95" s="37"/>
      <c r="AF95" s="37"/>
    </row>
    <row r="96" spans="3:32">
      <c r="C96" s="18">
        <f t="shared" si="1"/>
        <v>39</v>
      </c>
      <c r="D96" s="18" t="s">
        <v>71</v>
      </c>
      <c r="E96" s="29">
        <v>63</v>
      </c>
      <c r="F96" s="29" t="s">
        <v>83</v>
      </c>
      <c r="G96" s="29" t="s">
        <v>350</v>
      </c>
      <c r="H96" s="29">
        <v>250.5</v>
      </c>
      <c r="I96" s="29" t="s">
        <v>276</v>
      </c>
      <c r="J96" s="18">
        <v>1.7</v>
      </c>
      <c r="K96" s="30">
        <v>3.1</v>
      </c>
      <c r="L96" s="18">
        <v>4.8</v>
      </c>
      <c r="M96" s="16"/>
      <c r="N96" s="16"/>
      <c r="T96" s="36"/>
      <c r="U96" s="37"/>
      <c r="V96" s="37"/>
      <c r="W96" s="37"/>
      <c r="X96" s="37"/>
      <c r="Y96" s="37"/>
      <c r="Z96" s="37"/>
      <c r="AA96" s="37"/>
      <c r="AB96" s="37"/>
      <c r="AC96" s="37"/>
      <c r="AD96" s="37"/>
      <c r="AE96" s="37"/>
      <c r="AF96" s="37"/>
    </row>
    <row r="97" spans="3:32">
      <c r="C97" s="18">
        <f t="shared" si="1"/>
        <v>40</v>
      </c>
      <c r="D97" s="18" t="s">
        <v>71</v>
      </c>
      <c r="E97" s="29">
        <v>63</v>
      </c>
      <c r="F97" s="29" t="s">
        <v>451</v>
      </c>
      <c r="G97" s="29" t="s">
        <v>661</v>
      </c>
      <c r="H97" s="29">
        <v>62.3</v>
      </c>
      <c r="I97" s="29" t="s">
        <v>276</v>
      </c>
      <c r="J97" s="18">
        <v>1.7</v>
      </c>
      <c r="K97" s="30">
        <v>3.1</v>
      </c>
      <c r="L97" s="18">
        <v>4.8</v>
      </c>
      <c r="M97" s="16"/>
      <c r="N97" s="16"/>
      <c r="T97" s="36"/>
      <c r="U97" s="37"/>
      <c r="V97" s="37"/>
      <c r="W97" s="37"/>
      <c r="X97" s="37"/>
      <c r="Y97" s="37"/>
      <c r="Z97" s="37"/>
      <c r="AA97" s="37"/>
      <c r="AB97" s="37"/>
      <c r="AC97" s="37"/>
      <c r="AD97" s="37"/>
      <c r="AE97" s="37"/>
      <c r="AF97" s="37"/>
    </row>
    <row r="98" spans="3:32">
      <c r="C98" s="18">
        <f t="shared" si="1"/>
        <v>41</v>
      </c>
      <c r="D98" s="18" t="s">
        <v>71</v>
      </c>
      <c r="E98" s="29">
        <v>63</v>
      </c>
      <c r="F98" s="29" t="s">
        <v>227</v>
      </c>
      <c r="G98" s="29" t="s">
        <v>409</v>
      </c>
      <c r="H98" s="29">
        <v>48.2</v>
      </c>
      <c r="I98" s="29" t="s">
        <v>276</v>
      </c>
      <c r="J98" s="18">
        <v>1.7</v>
      </c>
      <c r="K98" s="30">
        <v>3.1</v>
      </c>
      <c r="L98" s="18">
        <v>4.8</v>
      </c>
      <c r="M98" s="16"/>
      <c r="N98" s="16"/>
      <c r="T98" s="36"/>
      <c r="U98" s="37"/>
      <c r="V98" s="37"/>
      <c r="W98" s="37"/>
      <c r="X98" s="37"/>
      <c r="Y98" s="37"/>
      <c r="Z98" s="37"/>
      <c r="AA98" s="37"/>
      <c r="AB98" s="37"/>
      <c r="AC98" s="37"/>
      <c r="AD98" s="37"/>
      <c r="AE98" s="37"/>
      <c r="AF98" s="37"/>
    </row>
    <row r="99" spans="3:32">
      <c r="C99" s="18">
        <f t="shared" si="1"/>
        <v>42</v>
      </c>
      <c r="D99" s="18" t="s">
        <v>71</v>
      </c>
      <c r="E99" s="29">
        <v>63</v>
      </c>
      <c r="F99" s="29" t="s">
        <v>409</v>
      </c>
      <c r="G99" s="29" t="s">
        <v>83</v>
      </c>
      <c r="H99" s="29">
        <v>38.1</v>
      </c>
      <c r="I99" s="29" t="s">
        <v>276</v>
      </c>
      <c r="J99" s="18">
        <v>1.7</v>
      </c>
      <c r="K99" s="30">
        <v>3.1</v>
      </c>
      <c r="L99" s="18">
        <v>4.8</v>
      </c>
      <c r="M99" s="16"/>
      <c r="N99" s="16"/>
      <c r="T99" s="36"/>
      <c r="U99" s="37"/>
      <c r="V99" s="37"/>
      <c r="W99" s="37"/>
      <c r="X99" s="37"/>
      <c r="Y99" s="37"/>
      <c r="Z99" s="37"/>
      <c r="AA99" s="37"/>
      <c r="AB99" s="37"/>
      <c r="AC99" s="37"/>
      <c r="AD99" s="37"/>
      <c r="AE99" s="37"/>
      <c r="AF99" s="37"/>
    </row>
    <row r="100" spans="3:32">
      <c r="C100" s="18">
        <f t="shared" si="1"/>
        <v>43</v>
      </c>
      <c r="D100" s="18" t="s">
        <v>71</v>
      </c>
      <c r="E100" s="29">
        <v>63</v>
      </c>
      <c r="F100" s="29" t="s">
        <v>409</v>
      </c>
      <c r="G100" s="29" t="s">
        <v>210</v>
      </c>
      <c r="H100" s="29">
        <v>183.6</v>
      </c>
      <c r="I100" s="29" t="s">
        <v>276</v>
      </c>
      <c r="J100" s="18">
        <v>1.7</v>
      </c>
      <c r="K100" s="30">
        <v>3.1</v>
      </c>
      <c r="L100" s="18">
        <v>4.8</v>
      </c>
      <c r="M100" s="16"/>
      <c r="N100" s="16"/>
      <c r="T100" s="36"/>
      <c r="U100" s="37"/>
      <c r="V100" s="37"/>
      <c r="W100" s="37"/>
      <c r="X100" s="37"/>
      <c r="Y100" s="37"/>
      <c r="Z100" s="37"/>
      <c r="AA100" s="37"/>
      <c r="AB100" s="37"/>
      <c r="AC100" s="37"/>
      <c r="AD100" s="37"/>
      <c r="AE100" s="37"/>
      <c r="AF100" s="37"/>
    </row>
    <row r="101" spans="3:32">
      <c r="C101" s="18">
        <f t="shared" si="1"/>
        <v>44</v>
      </c>
      <c r="D101" s="18" t="s">
        <v>71</v>
      </c>
      <c r="E101" s="29">
        <v>63</v>
      </c>
      <c r="F101" s="29" t="s">
        <v>409</v>
      </c>
      <c r="G101" s="29" t="s">
        <v>210</v>
      </c>
      <c r="H101" s="29">
        <v>120.2</v>
      </c>
      <c r="I101" s="29" t="s">
        <v>276</v>
      </c>
      <c r="J101" s="18">
        <v>1.7</v>
      </c>
      <c r="K101" s="30">
        <v>3.1</v>
      </c>
      <c r="L101" s="18">
        <v>4.8</v>
      </c>
      <c r="M101" s="16"/>
      <c r="N101" s="16"/>
      <c r="T101" s="36"/>
      <c r="U101" s="37"/>
      <c r="V101" s="37"/>
      <c r="W101" s="37"/>
      <c r="X101" s="37"/>
      <c r="Y101" s="37"/>
      <c r="Z101" s="37"/>
      <c r="AA101" s="37"/>
      <c r="AB101" s="37"/>
      <c r="AC101" s="37"/>
      <c r="AD101" s="37"/>
      <c r="AE101" s="37"/>
      <c r="AF101" s="37"/>
    </row>
    <row r="102" spans="3:32">
      <c r="C102" s="18">
        <f t="shared" si="1"/>
        <v>45</v>
      </c>
      <c r="D102" s="18" t="s">
        <v>71</v>
      </c>
      <c r="E102" s="29">
        <v>63</v>
      </c>
      <c r="F102" s="29" t="s">
        <v>409</v>
      </c>
      <c r="G102" s="29" t="s">
        <v>210</v>
      </c>
      <c r="H102" s="29">
        <v>3.4</v>
      </c>
      <c r="I102" s="29" t="s">
        <v>276</v>
      </c>
      <c r="J102" s="18">
        <v>1.7</v>
      </c>
      <c r="K102" s="30">
        <v>3.1</v>
      </c>
      <c r="L102" s="18">
        <v>4.8</v>
      </c>
      <c r="M102" s="16"/>
      <c r="N102" s="16"/>
      <c r="T102" s="36"/>
      <c r="U102" s="37"/>
      <c r="V102" s="37"/>
      <c r="W102" s="37"/>
      <c r="X102" s="37"/>
      <c r="Y102" s="37"/>
      <c r="Z102" s="37"/>
      <c r="AA102" s="37"/>
      <c r="AB102" s="37"/>
      <c r="AC102" s="37"/>
      <c r="AD102" s="37"/>
      <c r="AE102" s="37"/>
      <c r="AF102" s="37"/>
    </row>
    <row r="103" spans="3:32">
      <c r="C103" s="18">
        <f t="shared" si="1"/>
        <v>46</v>
      </c>
      <c r="D103" s="18" t="s">
        <v>71</v>
      </c>
      <c r="E103" s="29">
        <v>90</v>
      </c>
      <c r="F103" s="29" t="s">
        <v>210</v>
      </c>
      <c r="G103" s="29" t="s">
        <v>377</v>
      </c>
      <c r="H103" s="29">
        <v>164.4</v>
      </c>
      <c r="I103" s="29" t="s">
        <v>276</v>
      </c>
      <c r="J103" s="18">
        <v>1.7</v>
      </c>
      <c r="K103" s="30">
        <v>3.1</v>
      </c>
      <c r="L103" s="18">
        <v>4.8</v>
      </c>
      <c r="M103" s="16"/>
      <c r="N103" s="16"/>
      <c r="T103" s="36"/>
      <c r="U103" s="37"/>
      <c r="V103" s="37"/>
      <c r="W103" s="37"/>
      <c r="X103" s="37"/>
      <c r="Y103" s="37"/>
      <c r="Z103" s="37"/>
      <c r="AA103" s="37"/>
      <c r="AB103" s="37"/>
      <c r="AC103" s="37"/>
      <c r="AD103" s="37"/>
      <c r="AE103" s="37"/>
      <c r="AF103" s="37"/>
    </row>
    <row r="104" spans="3:32">
      <c r="C104" s="18">
        <f t="shared" si="1"/>
        <v>47</v>
      </c>
      <c r="D104" s="18" t="s">
        <v>71</v>
      </c>
      <c r="E104" s="29">
        <v>90</v>
      </c>
      <c r="F104" s="29" t="s">
        <v>377</v>
      </c>
      <c r="G104" s="29" t="s">
        <v>1105</v>
      </c>
      <c r="H104" s="29">
        <v>199.2</v>
      </c>
      <c r="I104" s="29" t="s">
        <v>276</v>
      </c>
      <c r="J104" s="18">
        <v>1.7</v>
      </c>
      <c r="K104" s="30">
        <v>3.1</v>
      </c>
      <c r="L104" s="18">
        <v>4.8</v>
      </c>
      <c r="M104" s="16"/>
      <c r="N104" s="16"/>
      <c r="T104" s="36"/>
      <c r="U104" s="37"/>
      <c r="V104" s="37"/>
      <c r="W104" s="37"/>
      <c r="X104" s="37"/>
      <c r="Y104" s="37"/>
      <c r="Z104" s="37"/>
      <c r="AA104" s="37"/>
      <c r="AB104" s="37"/>
      <c r="AC104" s="37"/>
      <c r="AD104" s="37"/>
      <c r="AE104" s="37"/>
      <c r="AF104" s="37"/>
    </row>
    <row r="105" spans="3:32">
      <c r="C105" s="18">
        <f t="shared" si="1"/>
        <v>48</v>
      </c>
      <c r="D105" s="18" t="s">
        <v>71</v>
      </c>
      <c r="E105" s="29">
        <v>63</v>
      </c>
      <c r="F105" s="29" t="s">
        <v>1105</v>
      </c>
      <c r="G105" s="29" t="s">
        <v>1106</v>
      </c>
      <c r="H105" s="29">
        <v>56.8</v>
      </c>
      <c r="I105" s="29" t="s">
        <v>276</v>
      </c>
      <c r="J105" s="18">
        <v>1.7</v>
      </c>
      <c r="K105" s="30">
        <v>3.1</v>
      </c>
      <c r="L105" s="18">
        <v>4.8</v>
      </c>
      <c r="M105" s="16"/>
      <c r="N105" s="16"/>
      <c r="T105" s="36"/>
      <c r="U105" s="37"/>
      <c r="V105" s="37"/>
      <c r="W105" s="37"/>
      <c r="X105" s="37"/>
      <c r="Y105" s="37"/>
      <c r="Z105" s="37"/>
      <c r="AA105" s="37"/>
      <c r="AB105" s="37"/>
      <c r="AC105" s="37"/>
      <c r="AD105" s="37"/>
      <c r="AE105" s="37"/>
      <c r="AF105" s="37"/>
    </row>
    <row r="106" spans="3:32">
      <c r="C106" s="18">
        <f t="shared" si="1"/>
        <v>49</v>
      </c>
      <c r="D106" s="18" t="s">
        <v>71</v>
      </c>
      <c r="E106" s="29">
        <v>90</v>
      </c>
      <c r="F106" s="29" t="s">
        <v>1105</v>
      </c>
      <c r="G106" s="29" t="s">
        <v>123</v>
      </c>
      <c r="H106" s="29">
        <v>5.7</v>
      </c>
      <c r="I106" s="29" t="s">
        <v>276</v>
      </c>
      <c r="J106" s="18">
        <v>1.7</v>
      </c>
      <c r="K106" s="30">
        <v>3.1</v>
      </c>
      <c r="L106" s="18">
        <v>4.8</v>
      </c>
      <c r="M106" s="16"/>
      <c r="N106" s="16"/>
      <c r="T106" s="36"/>
      <c r="U106" s="37"/>
      <c r="V106" s="37"/>
      <c r="W106" s="37"/>
      <c r="X106" s="37"/>
      <c r="Y106" s="37"/>
      <c r="Z106" s="37"/>
      <c r="AA106" s="37"/>
      <c r="AB106" s="37"/>
      <c r="AC106" s="37"/>
      <c r="AD106" s="37"/>
      <c r="AE106" s="37"/>
      <c r="AF106" s="37"/>
    </row>
    <row r="107" spans="3:32">
      <c r="C107" s="18">
        <f t="shared" si="1"/>
        <v>50</v>
      </c>
      <c r="D107" s="18" t="s">
        <v>71</v>
      </c>
      <c r="E107" s="29">
        <v>90</v>
      </c>
      <c r="F107" s="29" t="s">
        <v>1105</v>
      </c>
      <c r="G107" s="29" t="s">
        <v>123</v>
      </c>
      <c r="H107" s="29">
        <v>19.600000000000001</v>
      </c>
      <c r="I107" s="29" t="s">
        <v>276</v>
      </c>
      <c r="J107" s="18">
        <v>1.7</v>
      </c>
      <c r="K107" s="30">
        <v>3.1</v>
      </c>
      <c r="L107" s="18">
        <v>4.8</v>
      </c>
      <c r="M107" s="16"/>
      <c r="N107" s="16"/>
      <c r="T107" s="36"/>
      <c r="U107" s="37"/>
      <c r="V107" s="37"/>
      <c r="W107" s="37"/>
      <c r="X107" s="37"/>
      <c r="Y107" s="37"/>
      <c r="Z107" s="37"/>
      <c r="AA107" s="37"/>
      <c r="AB107" s="37"/>
      <c r="AC107" s="37"/>
      <c r="AD107" s="37"/>
      <c r="AE107" s="37"/>
      <c r="AF107" s="37"/>
    </row>
    <row r="108" spans="3:32">
      <c r="C108" s="18">
        <f t="shared" si="1"/>
        <v>51</v>
      </c>
      <c r="D108" s="29" t="s">
        <v>71</v>
      </c>
      <c r="E108" s="29">
        <v>90</v>
      </c>
      <c r="F108" s="29" t="s">
        <v>1105</v>
      </c>
      <c r="G108" s="29" t="s">
        <v>123</v>
      </c>
      <c r="H108" s="29">
        <v>52.4</v>
      </c>
      <c r="I108" s="29" t="s">
        <v>276</v>
      </c>
      <c r="J108" s="18">
        <v>1.7</v>
      </c>
      <c r="K108" s="29">
        <v>3.1</v>
      </c>
      <c r="L108" s="18">
        <v>4.8</v>
      </c>
      <c r="M108" s="29"/>
      <c r="N108" s="29"/>
      <c r="T108" s="36"/>
      <c r="U108" s="376"/>
      <c r="V108" s="376"/>
      <c r="W108" s="376"/>
      <c r="X108" s="376"/>
      <c r="Y108" s="376"/>
      <c r="Z108" s="376"/>
      <c r="AA108" s="376"/>
      <c r="AB108" s="376"/>
      <c r="AC108" s="376"/>
      <c r="AD108" s="376"/>
      <c r="AE108" s="376"/>
      <c r="AF108" s="376"/>
    </row>
    <row r="109" spans="3:32">
      <c r="C109" s="374"/>
      <c r="D109" s="374"/>
      <c r="E109" s="374"/>
      <c r="F109" s="374"/>
      <c r="G109" s="374"/>
      <c r="H109" s="374"/>
      <c r="I109" s="374"/>
      <c r="J109" s="374"/>
      <c r="K109" s="374"/>
      <c r="L109" s="374"/>
      <c r="M109" s="374"/>
      <c r="N109" s="374"/>
      <c r="T109" s="36"/>
      <c r="U109" s="36"/>
      <c r="V109" s="36"/>
      <c r="W109" s="36"/>
      <c r="X109" s="36"/>
      <c r="Y109" s="36"/>
      <c r="Z109" s="36"/>
      <c r="AA109" s="36"/>
      <c r="AB109" s="36"/>
      <c r="AC109" s="36"/>
      <c r="AD109" s="36"/>
      <c r="AE109" s="36"/>
      <c r="AF109" s="36"/>
    </row>
    <row r="110" spans="3:32">
      <c r="C110" s="324"/>
      <c r="D110" s="324"/>
      <c r="E110" s="325" t="s">
        <v>86</v>
      </c>
      <c r="F110" s="325"/>
      <c r="G110" s="325"/>
      <c r="H110" s="325"/>
      <c r="I110" s="325" t="s">
        <v>87</v>
      </c>
      <c r="J110" s="325"/>
      <c r="K110" s="325"/>
      <c r="L110" s="325" t="s">
        <v>39</v>
      </c>
      <c r="M110" s="325"/>
      <c r="N110" s="325"/>
    </row>
    <row r="111" spans="3:32">
      <c r="C111" s="295" t="s">
        <v>40</v>
      </c>
      <c r="D111" s="295"/>
      <c r="E111" s="317"/>
      <c r="F111" s="317"/>
      <c r="G111" s="317"/>
      <c r="H111" s="317"/>
      <c r="I111" s="317"/>
      <c r="J111" s="317"/>
      <c r="K111" s="317"/>
      <c r="L111" s="317"/>
      <c r="M111" s="317"/>
      <c r="N111" s="317"/>
    </row>
    <row r="112" spans="3:32">
      <c r="C112" s="295" t="s">
        <v>41</v>
      </c>
      <c r="D112" s="295"/>
      <c r="E112" s="317"/>
      <c r="F112" s="317"/>
      <c r="G112" s="317"/>
      <c r="H112" s="317"/>
      <c r="I112" s="317"/>
      <c r="J112" s="317"/>
      <c r="K112" s="317"/>
      <c r="L112" s="317"/>
      <c r="M112" s="317"/>
      <c r="N112" s="317"/>
    </row>
    <row r="113" spans="2:14">
      <c r="C113" s="295" t="s">
        <v>42</v>
      </c>
      <c r="D113" s="295"/>
      <c r="E113" s="317"/>
      <c r="F113" s="317"/>
      <c r="G113" s="317"/>
      <c r="H113" s="317"/>
      <c r="I113" s="317"/>
      <c r="J113" s="317"/>
      <c r="K113" s="317"/>
      <c r="L113" s="317"/>
      <c r="M113" s="317"/>
      <c r="N113" s="317"/>
    </row>
    <row r="114" spans="2:14">
      <c r="C114" s="295" t="s">
        <v>43</v>
      </c>
      <c r="D114" s="295"/>
      <c r="E114" s="315"/>
      <c r="F114" s="316"/>
      <c r="G114" s="316"/>
      <c r="H114" s="316"/>
      <c r="I114" s="317"/>
      <c r="J114" s="317"/>
      <c r="K114" s="317"/>
      <c r="L114" s="317"/>
      <c r="M114" s="317"/>
      <c r="N114" s="317"/>
    </row>
    <row r="115" spans="2:14">
      <c r="B115" s="36"/>
      <c r="C115" s="37"/>
      <c r="D115" s="37"/>
      <c r="E115" s="37"/>
      <c r="F115" s="37"/>
      <c r="G115" s="37"/>
      <c r="H115" s="37"/>
      <c r="I115" s="37"/>
      <c r="J115" s="37"/>
      <c r="K115" s="37"/>
      <c r="L115" s="37"/>
      <c r="M115" s="37"/>
      <c r="N115" s="37"/>
    </row>
    <row r="116" spans="2:14">
      <c r="C116" s="206"/>
      <c r="D116" s="211" t="s">
        <v>44</v>
      </c>
      <c r="E116" s="212"/>
      <c r="F116" s="212"/>
      <c r="G116" s="212"/>
      <c r="H116" s="212"/>
      <c r="I116" s="212"/>
      <c r="J116" s="212"/>
      <c r="K116" s="212"/>
      <c r="L116" s="20"/>
      <c r="M116" s="20"/>
      <c r="N116" s="21"/>
    </row>
    <row r="117" spans="2:14">
      <c r="C117" s="207"/>
      <c r="D117" s="214"/>
      <c r="E117" s="215"/>
      <c r="F117" s="215"/>
      <c r="G117" s="215"/>
      <c r="H117" s="215"/>
      <c r="I117" s="215"/>
      <c r="J117" s="215"/>
      <c r="K117" s="215"/>
      <c r="N117" s="22"/>
    </row>
    <row r="118" spans="2:14">
      <c r="C118" s="207"/>
      <c r="D118" s="214"/>
      <c r="E118" s="215"/>
      <c r="F118" s="215"/>
      <c r="G118" s="215"/>
      <c r="H118" s="215"/>
      <c r="I118" s="215"/>
      <c r="J118" s="215"/>
      <c r="K118" s="215"/>
      <c r="N118" s="22"/>
    </row>
    <row r="119" spans="2:14">
      <c r="C119" s="207"/>
      <c r="D119" s="289"/>
      <c r="E119" s="290"/>
      <c r="F119" s="290"/>
      <c r="G119" s="290"/>
      <c r="H119" s="290"/>
      <c r="I119" s="290"/>
      <c r="J119" s="290"/>
      <c r="K119" s="290"/>
      <c r="N119" s="22"/>
    </row>
    <row r="120" spans="2:14" ht="16.5">
      <c r="C120" s="223" t="s">
        <v>45</v>
      </c>
      <c r="D120" s="224"/>
      <c r="E120" s="7" t="s">
        <v>46</v>
      </c>
      <c r="F120" s="8"/>
      <c r="G120" s="8"/>
      <c r="H120" s="8"/>
      <c r="I120" s="8"/>
      <c r="J120" s="8"/>
      <c r="K120" s="8"/>
      <c r="L120" s="8"/>
      <c r="M120" s="8"/>
      <c r="N120" s="23"/>
    </row>
    <row r="121" spans="2:14" ht="16.5">
      <c r="C121" s="223" t="s">
        <v>48</v>
      </c>
      <c r="D121" s="224"/>
      <c r="E121" s="7" t="s">
        <v>49</v>
      </c>
      <c r="F121" s="8"/>
      <c r="G121" s="8"/>
      <c r="H121" s="8"/>
      <c r="I121" s="8"/>
      <c r="J121" s="8"/>
      <c r="K121" s="8"/>
      <c r="L121" s="8"/>
      <c r="M121" s="8"/>
      <c r="N121" s="23"/>
    </row>
    <row r="122" spans="2:14" ht="16.5">
      <c r="C122" s="225" t="s">
        <v>50</v>
      </c>
      <c r="D122" s="226"/>
      <c r="E122" s="7" t="s">
        <v>51</v>
      </c>
      <c r="F122" s="8"/>
      <c r="G122" s="8"/>
      <c r="H122" s="8"/>
      <c r="I122" s="8"/>
      <c r="J122" s="8"/>
      <c r="K122" s="8"/>
      <c r="L122" s="8"/>
      <c r="M122" s="8"/>
      <c r="N122" s="23"/>
    </row>
    <row r="123" spans="2:14" ht="16.5">
      <c r="C123" s="223" t="s">
        <v>52</v>
      </c>
      <c r="D123" s="224"/>
      <c r="E123" s="7" t="s">
        <v>53</v>
      </c>
      <c r="F123" s="8"/>
      <c r="G123" s="8"/>
      <c r="H123" s="8"/>
      <c r="I123" s="8"/>
      <c r="J123" s="8"/>
      <c r="K123" s="8"/>
      <c r="L123" s="8"/>
      <c r="M123" s="8"/>
      <c r="N123" s="23"/>
    </row>
    <row r="124" spans="2:14" ht="15.75">
      <c r="C124" s="227" t="s">
        <v>1095</v>
      </c>
      <c r="D124" s="228"/>
      <c r="E124" s="228"/>
      <c r="F124" s="228"/>
      <c r="G124" s="228"/>
      <c r="H124" s="228"/>
      <c r="I124" s="228"/>
      <c r="J124" s="228"/>
      <c r="K124" s="228"/>
      <c r="L124" s="228"/>
      <c r="M124" s="228"/>
      <c r="N124" s="229"/>
    </row>
    <row r="125" spans="2:14" ht="15.75">
      <c r="C125" s="11" t="s">
        <v>55</v>
      </c>
      <c r="E125" s="12"/>
      <c r="F125" s="12"/>
      <c r="G125" s="12"/>
      <c r="H125" s="12"/>
      <c r="I125" s="24" t="s">
        <v>56</v>
      </c>
      <c r="J125" s="25"/>
      <c r="K125" s="12"/>
      <c r="L125" s="12"/>
      <c r="M125" s="12"/>
      <c r="N125" s="26"/>
    </row>
    <row r="126" spans="2:14">
      <c r="C126" s="217"/>
      <c r="D126" s="218"/>
      <c r="E126" s="218"/>
      <c r="F126" s="218"/>
      <c r="G126" s="218"/>
      <c r="H126" s="218"/>
      <c r="I126" s="218"/>
      <c r="J126" s="218"/>
      <c r="K126" s="218"/>
      <c r="L126" s="218"/>
      <c r="M126" s="218"/>
      <c r="N126" s="219"/>
    </row>
    <row r="127" spans="2:14" ht="15.75">
      <c r="C127" s="15" t="s">
        <v>103</v>
      </c>
      <c r="D127" s="355"/>
      <c r="E127" s="356"/>
      <c r="F127" s="356"/>
      <c r="G127" s="356"/>
      <c r="H127" s="357"/>
      <c r="I127" s="368" t="s">
        <v>542</v>
      </c>
      <c r="J127" s="369"/>
      <c r="K127" s="369"/>
      <c r="L127" s="369"/>
      <c r="M127" s="369"/>
      <c r="N127" s="370"/>
    </row>
    <row r="128" spans="2:14">
      <c r="C128" s="329" t="s">
        <v>59</v>
      </c>
      <c r="D128" s="209" t="s">
        <v>60</v>
      </c>
      <c r="E128" s="209" t="s">
        <v>659</v>
      </c>
      <c r="F128" s="209" t="s">
        <v>62</v>
      </c>
      <c r="G128" s="209" t="s">
        <v>63</v>
      </c>
      <c r="H128" s="209" t="s">
        <v>64</v>
      </c>
      <c r="I128" s="209" t="s">
        <v>65</v>
      </c>
      <c r="J128" s="342" t="s">
        <v>66</v>
      </c>
      <c r="K128" s="343"/>
      <c r="L128" s="344"/>
      <c r="M128" s="209" t="s">
        <v>30</v>
      </c>
      <c r="N128" s="328" t="s">
        <v>67</v>
      </c>
    </row>
    <row r="129" spans="3:14" ht="60">
      <c r="C129" s="359"/>
      <c r="D129" s="292"/>
      <c r="E129" s="292"/>
      <c r="F129" s="292"/>
      <c r="G129" s="292"/>
      <c r="H129" s="292"/>
      <c r="I129" s="292"/>
      <c r="J129" s="17" t="s">
        <v>68</v>
      </c>
      <c r="K129" s="28" t="s">
        <v>999</v>
      </c>
      <c r="L129" s="17" t="s">
        <v>70</v>
      </c>
      <c r="M129" s="292"/>
      <c r="N129" s="360"/>
    </row>
    <row r="130" spans="3:14">
      <c r="C130" s="18">
        <v>1</v>
      </c>
      <c r="D130" s="18" t="s">
        <v>71</v>
      </c>
      <c r="E130" s="29">
        <v>63</v>
      </c>
      <c r="F130" s="29" t="s">
        <v>377</v>
      </c>
      <c r="G130" s="29" t="s">
        <v>305</v>
      </c>
      <c r="H130" s="29">
        <v>196.7</v>
      </c>
      <c r="I130" s="29" t="s">
        <v>276</v>
      </c>
      <c r="J130" s="18">
        <v>1.7</v>
      </c>
      <c r="K130" s="30">
        <v>3.1</v>
      </c>
      <c r="L130" s="18">
        <v>4.8</v>
      </c>
      <c r="M130" s="16"/>
      <c r="N130" s="16"/>
    </row>
    <row r="131" spans="3:14">
      <c r="C131" s="18">
        <f>1+C130</f>
        <v>2</v>
      </c>
      <c r="D131" s="18" t="s">
        <v>71</v>
      </c>
      <c r="E131" s="29">
        <v>63</v>
      </c>
      <c r="F131" s="29" t="s">
        <v>305</v>
      </c>
      <c r="G131" s="29" t="s">
        <v>1107</v>
      </c>
      <c r="H131" s="29">
        <v>22.2</v>
      </c>
      <c r="I131" s="29" t="s">
        <v>276</v>
      </c>
      <c r="J131" s="18">
        <v>1.7</v>
      </c>
      <c r="K131" s="30">
        <v>3.1</v>
      </c>
      <c r="L131" s="18">
        <v>4.8</v>
      </c>
      <c r="M131" s="16"/>
      <c r="N131" s="16"/>
    </row>
    <row r="132" spans="3:14">
      <c r="C132" s="18">
        <f t="shared" ref="C132:C175" si="2">1+C131</f>
        <v>3</v>
      </c>
      <c r="D132" s="18" t="s">
        <v>71</v>
      </c>
      <c r="E132" s="29">
        <v>63</v>
      </c>
      <c r="F132" s="29" t="s">
        <v>305</v>
      </c>
      <c r="G132" s="29" t="s">
        <v>727</v>
      </c>
      <c r="H132" s="29">
        <v>40.799999999999997</v>
      </c>
      <c r="I132" s="29" t="s">
        <v>276</v>
      </c>
      <c r="J132" s="18">
        <v>1.7</v>
      </c>
      <c r="K132" s="30">
        <v>3.1</v>
      </c>
      <c r="L132" s="18">
        <v>4.8</v>
      </c>
      <c r="M132" s="16"/>
      <c r="N132" s="16"/>
    </row>
    <row r="133" spans="3:14">
      <c r="C133" s="18">
        <f t="shared" si="2"/>
        <v>4</v>
      </c>
      <c r="D133" s="18" t="s">
        <v>71</v>
      </c>
      <c r="E133" s="29">
        <v>63</v>
      </c>
      <c r="F133" s="29" t="s">
        <v>727</v>
      </c>
      <c r="G133" s="29" t="s">
        <v>354</v>
      </c>
      <c r="H133" s="29">
        <v>10.3</v>
      </c>
      <c r="I133" s="29" t="s">
        <v>276</v>
      </c>
      <c r="J133" s="18">
        <v>1.7</v>
      </c>
      <c r="K133" s="30">
        <v>3.1</v>
      </c>
      <c r="L133" s="18">
        <v>4.8</v>
      </c>
      <c r="M133" s="16"/>
      <c r="N133" s="16"/>
    </row>
    <row r="134" spans="3:14">
      <c r="C134" s="18">
        <f t="shared" si="2"/>
        <v>5</v>
      </c>
      <c r="D134" s="18" t="s">
        <v>71</v>
      </c>
      <c r="E134" s="29">
        <v>63</v>
      </c>
      <c r="F134" s="29" t="s">
        <v>354</v>
      </c>
      <c r="G134" s="29" t="s">
        <v>736</v>
      </c>
      <c r="H134" s="29">
        <v>17.5</v>
      </c>
      <c r="I134" s="29" t="s">
        <v>276</v>
      </c>
      <c r="J134" s="18">
        <v>1.7</v>
      </c>
      <c r="K134" s="30">
        <v>3.1</v>
      </c>
      <c r="L134" s="18">
        <v>4.8</v>
      </c>
      <c r="M134" s="16"/>
      <c r="N134" s="16"/>
    </row>
    <row r="135" spans="3:14">
      <c r="C135" s="18">
        <f t="shared" si="2"/>
        <v>6</v>
      </c>
      <c r="D135" s="18" t="s">
        <v>71</v>
      </c>
      <c r="E135" s="29">
        <v>63</v>
      </c>
      <c r="F135" s="29" t="s">
        <v>354</v>
      </c>
      <c r="G135" s="29" t="s">
        <v>1086</v>
      </c>
      <c r="H135" s="29">
        <v>53.2</v>
      </c>
      <c r="I135" s="29" t="s">
        <v>276</v>
      </c>
      <c r="J135" s="18">
        <v>1.7</v>
      </c>
      <c r="K135" s="30">
        <v>3.1</v>
      </c>
      <c r="L135" s="18">
        <v>4.8</v>
      </c>
      <c r="M135" s="16"/>
      <c r="N135" s="16"/>
    </row>
    <row r="136" spans="3:14">
      <c r="C136" s="18">
        <f t="shared" si="2"/>
        <v>7</v>
      </c>
      <c r="D136" s="18" t="s">
        <v>71</v>
      </c>
      <c r="E136" s="29">
        <v>63</v>
      </c>
      <c r="F136" s="29" t="s">
        <v>727</v>
      </c>
      <c r="G136" s="29" t="s">
        <v>313</v>
      </c>
      <c r="H136" s="29">
        <v>106.3</v>
      </c>
      <c r="I136" s="29" t="s">
        <v>276</v>
      </c>
      <c r="J136" s="18">
        <v>1.7</v>
      </c>
      <c r="K136" s="30">
        <v>3.1</v>
      </c>
      <c r="L136" s="18">
        <v>4.8</v>
      </c>
      <c r="M136" s="16"/>
      <c r="N136" s="16"/>
    </row>
    <row r="137" spans="3:14" ht="15" customHeight="1">
      <c r="C137" s="18">
        <f t="shared" si="2"/>
        <v>8</v>
      </c>
      <c r="D137" s="18" t="s">
        <v>71</v>
      </c>
      <c r="E137" s="29">
        <v>90</v>
      </c>
      <c r="F137" s="29" t="s">
        <v>210</v>
      </c>
      <c r="G137" s="29" t="s">
        <v>1108</v>
      </c>
      <c r="H137" s="29">
        <v>35.799999999999997</v>
      </c>
      <c r="I137" s="29" t="s">
        <v>276</v>
      </c>
      <c r="J137" s="18">
        <v>1.7</v>
      </c>
      <c r="K137" s="30">
        <v>3.1</v>
      </c>
      <c r="L137" s="18">
        <v>4.8</v>
      </c>
      <c r="M137" s="16"/>
      <c r="N137" s="16"/>
    </row>
    <row r="138" spans="3:14" ht="15" customHeight="1">
      <c r="C138" s="18">
        <f t="shared" si="2"/>
        <v>9</v>
      </c>
      <c r="D138" s="18" t="s">
        <v>71</v>
      </c>
      <c r="E138" s="29">
        <v>63</v>
      </c>
      <c r="F138" s="29" t="s">
        <v>1108</v>
      </c>
      <c r="G138" s="29" t="s">
        <v>1109</v>
      </c>
      <c r="H138" s="29">
        <v>100.7</v>
      </c>
      <c r="I138" s="29" t="s">
        <v>276</v>
      </c>
      <c r="J138" s="18">
        <v>1.7</v>
      </c>
      <c r="K138" s="30">
        <v>3.1</v>
      </c>
      <c r="L138" s="18">
        <v>4.8</v>
      </c>
      <c r="M138" s="16"/>
      <c r="N138" s="16"/>
    </row>
    <row r="139" spans="3:14" ht="15" customHeight="1">
      <c r="C139" s="18">
        <f t="shared" si="2"/>
        <v>10</v>
      </c>
      <c r="D139" s="18" t="s">
        <v>71</v>
      </c>
      <c r="E139" s="29">
        <v>90</v>
      </c>
      <c r="F139" s="29" t="s">
        <v>1108</v>
      </c>
      <c r="G139" s="29" t="s">
        <v>774</v>
      </c>
      <c r="H139" s="29">
        <v>106.3</v>
      </c>
      <c r="I139" s="29" t="s">
        <v>276</v>
      </c>
      <c r="J139" s="18">
        <v>1.7</v>
      </c>
      <c r="K139" s="30">
        <v>3.1</v>
      </c>
      <c r="L139" s="18">
        <v>4.8</v>
      </c>
      <c r="M139" s="16"/>
      <c r="N139" s="16"/>
    </row>
    <row r="140" spans="3:14" ht="15" customHeight="1">
      <c r="C140" s="18">
        <f t="shared" si="2"/>
        <v>11</v>
      </c>
      <c r="D140" s="18" t="s">
        <v>71</v>
      </c>
      <c r="E140" s="29">
        <v>63</v>
      </c>
      <c r="F140" s="29" t="s">
        <v>774</v>
      </c>
      <c r="G140" s="29" t="s">
        <v>194</v>
      </c>
      <c r="H140" s="29">
        <v>116.1</v>
      </c>
      <c r="I140" s="29" t="s">
        <v>276</v>
      </c>
      <c r="J140" s="18">
        <v>1.7</v>
      </c>
      <c r="K140" s="30">
        <v>3.1</v>
      </c>
      <c r="L140" s="18">
        <v>4.8</v>
      </c>
      <c r="M140" s="16"/>
      <c r="N140" s="16"/>
    </row>
    <row r="141" spans="3:14">
      <c r="C141" s="18">
        <f t="shared" si="2"/>
        <v>12</v>
      </c>
      <c r="D141" s="18" t="s">
        <v>71</v>
      </c>
      <c r="E141" s="29">
        <v>63</v>
      </c>
      <c r="F141" s="29" t="s">
        <v>194</v>
      </c>
      <c r="G141" s="29" t="s">
        <v>142</v>
      </c>
      <c r="H141" s="29">
        <v>20.7</v>
      </c>
      <c r="I141" s="29" t="s">
        <v>276</v>
      </c>
      <c r="J141" s="18">
        <v>1.7</v>
      </c>
      <c r="K141" s="30">
        <v>3.1</v>
      </c>
      <c r="L141" s="18">
        <v>4.8</v>
      </c>
      <c r="M141" s="16"/>
      <c r="N141" s="16"/>
    </row>
    <row r="142" spans="3:14">
      <c r="C142" s="18">
        <f t="shared" si="2"/>
        <v>13</v>
      </c>
      <c r="D142" s="18" t="s">
        <v>71</v>
      </c>
      <c r="E142" s="29">
        <v>63</v>
      </c>
      <c r="F142" s="29" t="s">
        <v>142</v>
      </c>
      <c r="G142" s="29" t="s">
        <v>319</v>
      </c>
      <c r="H142" s="29">
        <v>5.6</v>
      </c>
      <c r="I142" s="29" t="s">
        <v>276</v>
      </c>
      <c r="J142" s="18">
        <v>1.7</v>
      </c>
      <c r="K142" s="30">
        <v>3.1</v>
      </c>
      <c r="L142" s="18">
        <v>4.8</v>
      </c>
      <c r="M142" s="16"/>
      <c r="N142" s="16"/>
    </row>
    <row r="143" spans="3:14">
      <c r="C143" s="18">
        <f t="shared" si="2"/>
        <v>14</v>
      </c>
      <c r="D143" s="18" t="s">
        <v>71</v>
      </c>
      <c r="E143" s="29">
        <v>63</v>
      </c>
      <c r="F143" s="29" t="s">
        <v>142</v>
      </c>
      <c r="G143" s="29" t="s">
        <v>180</v>
      </c>
      <c r="H143" s="29">
        <v>76.900000000000006</v>
      </c>
      <c r="I143" s="29" t="s">
        <v>276</v>
      </c>
      <c r="J143" s="18">
        <v>1.7</v>
      </c>
      <c r="K143" s="30">
        <v>3.1</v>
      </c>
      <c r="L143" s="18">
        <v>4.8</v>
      </c>
      <c r="M143" s="16"/>
      <c r="N143" s="16"/>
    </row>
    <row r="144" spans="3:14">
      <c r="C144" s="18">
        <f t="shared" si="2"/>
        <v>15</v>
      </c>
      <c r="D144" s="18" t="s">
        <v>71</v>
      </c>
      <c r="E144" s="29">
        <v>63</v>
      </c>
      <c r="F144" s="29" t="s">
        <v>180</v>
      </c>
      <c r="G144" s="29" t="s">
        <v>244</v>
      </c>
      <c r="H144" s="29">
        <v>33.6</v>
      </c>
      <c r="I144" s="29" t="s">
        <v>276</v>
      </c>
      <c r="J144" s="18">
        <v>1.7</v>
      </c>
      <c r="K144" s="30">
        <v>3.1</v>
      </c>
      <c r="L144" s="18">
        <v>4.8</v>
      </c>
      <c r="M144" s="16"/>
      <c r="N144" s="16"/>
    </row>
    <row r="145" spans="3:14">
      <c r="C145" s="18">
        <f t="shared" si="2"/>
        <v>16</v>
      </c>
      <c r="D145" s="18" t="s">
        <v>71</v>
      </c>
      <c r="E145" s="29">
        <v>63</v>
      </c>
      <c r="F145" s="29" t="s">
        <v>244</v>
      </c>
      <c r="G145" s="29" t="s">
        <v>785</v>
      </c>
      <c r="H145" s="29">
        <v>55.3</v>
      </c>
      <c r="I145" s="29" t="s">
        <v>276</v>
      </c>
      <c r="J145" s="18">
        <v>1.7</v>
      </c>
      <c r="K145" s="30">
        <v>3.1</v>
      </c>
      <c r="L145" s="18">
        <v>4.8</v>
      </c>
      <c r="M145" s="16"/>
      <c r="N145" s="16"/>
    </row>
    <row r="146" spans="3:14">
      <c r="C146" s="18">
        <f t="shared" si="2"/>
        <v>17</v>
      </c>
      <c r="D146" s="18" t="s">
        <v>71</v>
      </c>
      <c r="E146" s="29">
        <v>63</v>
      </c>
      <c r="F146" s="29" t="s">
        <v>244</v>
      </c>
      <c r="G146" s="29" t="s">
        <v>275</v>
      </c>
      <c r="H146" s="29">
        <v>54.2</v>
      </c>
      <c r="I146" s="29" t="s">
        <v>276</v>
      </c>
      <c r="J146" s="18">
        <v>1.7</v>
      </c>
      <c r="K146" s="30">
        <v>3.1</v>
      </c>
      <c r="L146" s="18">
        <v>4.8</v>
      </c>
      <c r="M146" s="16"/>
      <c r="N146" s="16"/>
    </row>
    <row r="147" spans="3:14">
      <c r="C147" s="18">
        <f t="shared" si="2"/>
        <v>18</v>
      </c>
      <c r="D147" s="18" t="s">
        <v>71</v>
      </c>
      <c r="E147" s="29">
        <v>110</v>
      </c>
      <c r="F147" s="29" t="s">
        <v>275</v>
      </c>
      <c r="G147" s="29" t="s">
        <v>135</v>
      </c>
      <c r="H147" s="29">
        <v>13.7</v>
      </c>
      <c r="I147" s="29" t="s">
        <v>276</v>
      </c>
      <c r="J147" s="18">
        <v>1.7</v>
      </c>
      <c r="K147" s="30">
        <v>3.1</v>
      </c>
      <c r="L147" s="18">
        <v>4.8</v>
      </c>
      <c r="M147" s="16"/>
      <c r="N147" s="16"/>
    </row>
    <row r="148" spans="3:14">
      <c r="C148" s="18">
        <f t="shared" si="2"/>
        <v>19</v>
      </c>
      <c r="D148" s="18" t="s">
        <v>71</v>
      </c>
      <c r="E148" s="29">
        <v>63</v>
      </c>
      <c r="F148" s="29" t="s">
        <v>135</v>
      </c>
      <c r="G148" s="29" t="s">
        <v>194</v>
      </c>
      <c r="H148" s="29">
        <v>50.7</v>
      </c>
      <c r="I148" s="29" t="s">
        <v>276</v>
      </c>
      <c r="J148" s="18">
        <v>1.7</v>
      </c>
      <c r="K148" s="30">
        <v>3.1</v>
      </c>
      <c r="L148" s="18">
        <v>4.8</v>
      </c>
      <c r="M148" s="16"/>
      <c r="N148" s="16"/>
    </row>
    <row r="149" spans="3:14">
      <c r="C149" s="18">
        <f t="shared" si="2"/>
        <v>20</v>
      </c>
      <c r="D149" s="18" t="s">
        <v>71</v>
      </c>
      <c r="E149" s="29">
        <v>63</v>
      </c>
      <c r="F149" s="29" t="s">
        <v>135</v>
      </c>
      <c r="G149" s="29" t="s">
        <v>194</v>
      </c>
      <c r="H149" s="29">
        <v>9.3000000000000007</v>
      </c>
      <c r="I149" s="29" t="s">
        <v>276</v>
      </c>
      <c r="J149" s="18">
        <v>1.7</v>
      </c>
      <c r="K149" s="30">
        <v>3.1</v>
      </c>
      <c r="L149" s="18">
        <v>4.8</v>
      </c>
      <c r="M149" s="16"/>
      <c r="N149" s="16"/>
    </row>
    <row r="150" spans="3:14">
      <c r="C150" s="18">
        <f t="shared" si="2"/>
        <v>21</v>
      </c>
      <c r="D150" s="18" t="s">
        <v>71</v>
      </c>
      <c r="E150" s="29">
        <v>90</v>
      </c>
      <c r="F150" s="29" t="s">
        <v>774</v>
      </c>
      <c r="G150" s="29" t="s">
        <v>135</v>
      </c>
      <c r="H150" s="29">
        <v>149.30000000000001</v>
      </c>
      <c r="I150" s="29" t="s">
        <v>276</v>
      </c>
      <c r="J150" s="18">
        <v>1.7</v>
      </c>
      <c r="K150" s="30">
        <v>3.1</v>
      </c>
      <c r="L150" s="18">
        <v>4.8</v>
      </c>
      <c r="M150" s="16"/>
      <c r="N150" s="16"/>
    </row>
    <row r="151" spans="3:14">
      <c r="C151" s="18">
        <f t="shared" si="2"/>
        <v>22</v>
      </c>
      <c r="D151" s="18" t="s">
        <v>71</v>
      </c>
      <c r="E151" s="29">
        <v>63</v>
      </c>
      <c r="F151" s="29" t="s">
        <v>275</v>
      </c>
      <c r="G151" s="29" t="s">
        <v>141</v>
      </c>
      <c r="H151" s="29">
        <v>3.4</v>
      </c>
      <c r="I151" s="29" t="s">
        <v>276</v>
      </c>
      <c r="J151" s="18">
        <v>1.7</v>
      </c>
      <c r="K151" s="30">
        <v>3.1</v>
      </c>
      <c r="L151" s="18">
        <v>4.8</v>
      </c>
      <c r="M151" s="16"/>
      <c r="N151" s="16"/>
    </row>
    <row r="152" spans="3:14">
      <c r="C152" s="18">
        <f t="shared" si="2"/>
        <v>23</v>
      </c>
      <c r="D152" s="18" t="s">
        <v>71</v>
      </c>
      <c r="E152" s="29">
        <v>63</v>
      </c>
      <c r="F152" s="29" t="s">
        <v>275</v>
      </c>
      <c r="G152" s="29" t="s">
        <v>141</v>
      </c>
      <c r="H152" s="29">
        <v>78.8</v>
      </c>
      <c r="I152" s="29" t="s">
        <v>276</v>
      </c>
      <c r="J152" s="18">
        <v>1.7</v>
      </c>
      <c r="K152" s="30">
        <v>3.1</v>
      </c>
      <c r="L152" s="18">
        <v>4.8</v>
      </c>
      <c r="M152" s="16"/>
      <c r="N152" s="16"/>
    </row>
    <row r="153" spans="3:14">
      <c r="C153" s="18">
        <f t="shared" si="2"/>
        <v>24</v>
      </c>
      <c r="D153" s="18" t="s">
        <v>71</v>
      </c>
      <c r="E153" s="29">
        <v>63</v>
      </c>
      <c r="F153" s="29" t="s">
        <v>141</v>
      </c>
      <c r="G153" s="29" t="s">
        <v>404</v>
      </c>
      <c r="H153" s="29">
        <v>73.099999999999994</v>
      </c>
      <c r="I153" s="29" t="s">
        <v>276</v>
      </c>
      <c r="J153" s="18">
        <v>1.7</v>
      </c>
      <c r="K153" s="30">
        <v>3.1</v>
      </c>
      <c r="L153" s="18">
        <v>4.8</v>
      </c>
      <c r="M153" s="16"/>
      <c r="N153" s="16"/>
    </row>
    <row r="154" spans="3:14">
      <c r="C154" s="18">
        <f t="shared" si="2"/>
        <v>25</v>
      </c>
      <c r="D154" s="18" t="s">
        <v>71</v>
      </c>
      <c r="E154" s="29">
        <v>63</v>
      </c>
      <c r="F154" s="29" t="s">
        <v>141</v>
      </c>
      <c r="G154" s="29" t="s">
        <v>404</v>
      </c>
      <c r="H154" s="29">
        <v>34.1</v>
      </c>
      <c r="I154" s="29" t="s">
        <v>276</v>
      </c>
      <c r="J154" s="18">
        <v>1.7</v>
      </c>
      <c r="K154" s="30">
        <v>3.1</v>
      </c>
      <c r="L154" s="18">
        <v>4.8</v>
      </c>
      <c r="M154" s="16"/>
      <c r="N154" s="16"/>
    </row>
    <row r="155" spans="3:14">
      <c r="C155" s="18">
        <f t="shared" si="2"/>
        <v>26</v>
      </c>
      <c r="D155" s="18" t="s">
        <v>71</v>
      </c>
      <c r="E155" s="29">
        <v>63</v>
      </c>
      <c r="F155" s="29" t="s">
        <v>141</v>
      </c>
      <c r="G155" s="29" t="s">
        <v>520</v>
      </c>
      <c r="H155" s="29">
        <v>2.2999999999999998</v>
      </c>
      <c r="I155" s="29" t="s">
        <v>276</v>
      </c>
      <c r="J155" s="18">
        <v>1.7</v>
      </c>
      <c r="K155" s="30">
        <v>3.1</v>
      </c>
      <c r="L155" s="18">
        <v>4.8</v>
      </c>
      <c r="M155" s="16"/>
      <c r="N155" s="16"/>
    </row>
    <row r="156" spans="3:14">
      <c r="C156" s="18">
        <f t="shared" si="2"/>
        <v>27</v>
      </c>
      <c r="D156" s="18" t="s">
        <v>71</v>
      </c>
      <c r="E156" s="29">
        <v>63</v>
      </c>
      <c r="F156" s="29" t="s">
        <v>141</v>
      </c>
      <c r="G156" s="29" t="s">
        <v>520</v>
      </c>
      <c r="H156" s="29">
        <v>70.400000000000006</v>
      </c>
      <c r="I156" s="29" t="s">
        <v>276</v>
      </c>
      <c r="J156" s="18">
        <v>1.7</v>
      </c>
      <c r="K156" s="30">
        <v>3.1</v>
      </c>
      <c r="L156" s="18">
        <v>4.8</v>
      </c>
      <c r="M156" s="16"/>
      <c r="N156" s="16"/>
    </row>
    <row r="157" spans="3:14">
      <c r="C157" s="18">
        <f t="shared" si="2"/>
        <v>28</v>
      </c>
      <c r="D157" s="18" t="s">
        <v>71</v>
      </c>
      <c r="E157" s="29">
        <v>63</v>
      </c>
      <c r="F157" s="29" t="s">
        <v>520</v>
      </c>
      <c r="G157" s="29" t="s">
        <v>1110</v>
      </c>
      <c r="H157" s="29">
        <v>109.9</v>
      </c>
      <c r="I157" s="29" t="s">
        <v>276</v>
      </c>
      <c r="J157" s="18">
        <v>1.7</v>
      </c>
      <c r="K157" s="30">
        <v>3.1</v>
      </c>
      <c r="L157" s="18">
        <v>4.8</v>
      </c>
      <c r="M157" s="16"/>
      <c r="N157" s="16"/>
    </row>
    <row r="158" spans="3:14">
      <c r="C158" s="18">
        <f t="shared" si="2"/>
        <v>29</v>
      </c>
      <c r="D158" s="18" t="s">
        <v>71</v>
      </c>
      <c r="E158" s="29">
        <v>63</v>
      </c>
      <c r="F158" s="29" t="s">
        <v>1110</v>
      </c>
      <c r="G158" s="29" t="s">
        <v>1111</v>
      </c>
      <c r="H158" s="29">
        <v>19.5</v>
      </c>
      <c r="I158" s="29" t="s">
        <v>276</v>
      </c>
      <c r="J158" s="18">
        <v>1.7</v>
      </c>
      <c r="K158" s="30">
        <v>3.1</v>
      </c>
      <c r="L158" s="18">
        <v>4.8</v>
      </c>
      <c r="M158" s="16"/>
      <c r="N158" s="16"/>
    </row>
    <row r="159" spans="3:14">
      <c r="C159" s="18">
        <f t="shared" si="2"/>
        <v>30</v>
      </c>
      <c r="D159" s="18" t="s">
        <v>71</v>
      </c>
      <c r="E159" s="29">
        <v>63</v>
      </c>
      <c r="F159" s="29" t="s">
        <v>425</v>
      </c>
      <c r="G159" s="29" t="s">
        <v>247</v>
      </c>
      <c r="H159" s="29">
        <v>31.9</v>
      </c>
      <c r="I159" s="29" t="s">
        <v>276</v>
      </c>
      <c r="J159" s="18">
        <v>1.7</v>
      </c>
      <c r="K159" s="30">
        <v>3.1</v>
      </c>
      <c r="L159" s="18">
        <v>4.8</v>
      </c>
      <c r="M159" s="16"/>
      <c r="N159" s="16"/>
    </row>
    <row r="160" spans="3:14">
      <c r="C160" s="18">
        <f t="shared" si="2"/>
        <v>31</v>
      </c>
      <c r="D160" s="18" t="s">
        <v>71</v>
      </c>
      <c r="E160" s="29">
        <v>63</v>
      </c>
      <c r="F160" s="29" t="s">
        <v>536</v>
      </c>
      <c r="G160" s="29" t="s">
        <v>537</v>
      </c>
      <c r="H160" s="29">
        <v>11.8</v>
      </c>
      <c r="I160" s="29" t="s">
        <v>276</v>
      </c>
      <c r="J160" s="18">
        <v>1.7</v>
      </c>
      <c r="K160" s="30">
        <v>3.1</v>
      </c>
      <c r="L160" s="18">
        <v>4.8</v>
      </c>
      <c r="M160" s="16"/>
      <c r="N160" s="16"/>
    </row>
    <row r="161" spans="3:14">
      <c r="C161" s="18">
        <f t="shared" si="2"/>
        <v>32</v>
      </c>
      <c r="D161" s="18" t="s">
        <v>71</v>
      </c>
      <c r="E161" s="29">
        <v>63</v>
      </c>
      <c r="F161" s="29" t="s">
        <v>536</v>
      </c>
      <c r="G161" s="29" t="s">
        <v>220</v>
      </c>
      <c r="H161" s="29">
        <v>36.1</v>
      </c>
      <c r="I161" s="29" t="s">
        <v>276</v>
      </c>
      <c r="J161" s="18">
        <v>1.7</v>
      </c>
      <c r="K161" s="30">
        <v>3.1</v>
      </c>
      <c r="L161" s="18">
        <v>4.8</v>
      </c>
      <c r="M161" s="16"/>
      <c r="N161" s="16"/>
    </row>
    <row r="162" spans="3:14">
      <c r="C162" s="18">
        <f t="shared" si="2"/>
        <v>33</v>
      </c>
      <c r="D162" s="18" t="s">
        <v>71</v>
      </c>
      <c r="E162" s="29">
        <v>75</v>
      </c>
      <c r="F162" s="29" t="s">
        <v>533</v>
      </c>
      <c r="G162" s="29" t="s">
        <v>72</v>
      </c>
      <c r="H162" s="29">
        <v>192.8</v>
      </c>
      <c r="I162" s="29" t="s">
        <v>276</v>
      </c>
      <c r="J162" s="18">
        <v>1.7</v>
      </c>
      <c r="K162" s="30">
        <v>3.1</v>
      </c>
      <c r="L162" s="18">
        <v>4.8</v>
      </c>
      <c r="M162" s="16"/>
      <c r="N162" s="16"/>
    </row>
    <row r="163" spans="3:14">
      <c r="C163" s="18">
        <f t="shared" si="2"/>
        <v>34</v>
      </c>
      <c r="D163" s="18" t="s">
        <v>71</v>
      </c>
      <c r="E163" s="29">
        <v>63</v>
      </c>
      <c r="F163" s="29" t="s">
        <v>72</v>
      </c>
      <c r="G163" s="29" t="s">
        <v>1112</v>
      </c>
      <c r="H163" s="29">
        <v>20.100000000000001</v>
      </c>
      <c r="I163" s="29" t="s">
        <v>276</v>
      </c>
      <c r="J163" s="18">
        <v>1.7</v>
      </c>
      <c r="K163" s="30">
        <v>3.1</v>
      </c>
      <c r="L163" s="18">
        <v>4.8</v>
      </c>
      <c r="M163" s="16"/>
      <c r="N163" s="16"/>
    </row>
    <row r="164" spans="3:14">
      <c r="C164" s="18">
        <f t="shared" si="2"/>
        <v>35</v>
      </c>
      <c r="D164" s="18" t="s">
        <v>71</v>
      </c>
      <c r="E164" s="29">
        <v>75</v>
      </c>
      <c r="F164" s="29" t="s">
        <v>506</v>
      </c>
      <c r="G164" s="29" t="s">
        <v>248</v>
      </c>
      <c r="H164" s="29">
        <v>130.5</v>
      </c>
      <c r="I164" s="29" t="s">
        <v>276</v>
      </c>
      <c r="J164" s="18">
        <v>1.7</v>
      </c>
      <c r="K164" s="30">
        <v>3.1</v>
      </c>
      <c r="L164" s="18">
        <v>4.8</v>
      </c>
      <c r="M164" s="16"/>
      <c r="N164" s="16"/>
    </row>
    <row r="165" spans="3:14">
      <c r="C165" s="18">
        <f t="shared" si="2"/>
        <v>36</v>
      </c>
      <c r="D165" s="18" t="s">
        <v>71</v>
      </c>
      <c r="E165" s="29">
        <v>63</v>
      </c>
      <c r="F165" s="29" t="s">
        <v>248</v>
      </c>
      <c r="G165" s="29" t="s">
        <v>205</v>
      </c>
      <c r="H165" s="29">
        <v>3</v>
      </c>
      <c r="I165" s="29" t="s">
        <v>276</v>
      </c>
      <c r="J165" s="18">
        <v>1.7</v>
      </c>
      <c r="K165" s="30">
        <v>3.1</v>
      </c>
      <c r="L165" s="18">
        <v>4.8</v>
      </c>
      <c r="M165" s="16"/>
      <c r="N165" s="16"/>
    </row>
    <row r="166" spans="3:14">
      <c r="C166" s="18">
        <f t="shared" si="2"/>
        <v>37</v>
      </c>
      <c r="D166" s="18" t="s">
        <v>71</v>
      </c>
      <c r="E166" s="29">
        <v>63</v>
      </c>
      <c r="F166" s="29" t="s">
        <v>248</v>
      </c>
      <c r="G166" s="29" t="s">
        <v>205</v>
      </c>
      <c r="H166" s="29">
        <v>208</v>
      </c>
      <c r="I166" s="29" t="s">
        <v>276</v>
      </c>
      <c r="J166" s="18">
        <v>1.7</v>
      </c>
      <c r="K166" s="30">
        <v>3.1</v>
      </c>
      <c r="L166" s="18">
        <v>4.8</v>
      </c>
      <c r="M166" s="16"/>
      <c r="N166" s="16"/>
    </row>
    <row r="167" spans="3:14">
      <c r="C167" s="18">
        <f t="shared" si="2"/>
        <v>38</v>
      </c>
      <c r="D167" s="18" t="s">
        <v>71</v>
      </c>
      <c r="E167" s="29">
        <v>63</v>
      </c>
      <c r="F167" s="29" t="s">
        <v>248</v>
      </c>
      <c r="G167" s="29" t="s">
        <v>205</v>
      </c>
      <c r="H167" s="29">
        <v>130.1</v>
      </c>
      <c r="I167" s="29" t="s">
        <v>276</v>
      </c>
      <c r="J167" s="18">
        <v>1.7</v>
      </c>
      <c r="K167" s="30">
        <v>3.1</v>
      </c>
      <c r="L167" s="18">
        <v>4.8</v>
      </c>
      <c r="M167" s="16"/>
      <c r="N167" s="16"/>
    </row>
    <row r="168" spans="3:14">
      <c r="C168" s="18">
        <f t="shared" si="2"/>
        <v>39</v>
      </c>
      <c r="D168" s="18" t="s">
        <v>71</v>
      </c>
      <c r="E168" s="29">
        <v>63</v>
      </c>
      <c r="F168" s="29" t="s">
        <v>245</v>
      </c>
      <c r="G168" s="29" t="s">
        <v>176</v>
      </c>
      <c r="H168" s="29">
        <v>115.1</v>
      </c>
      <c r="I168" s="29" t="s">
        <v>276</v>
      </c>
      <c r="J168" s="18">
        <v>1.7</v>
      </c>
      <c r="K168" s="30">
        <v>3.1</v>
      </c>
      <c r="L168" s="18">
        <v>4.8</v>
      </c>
      <c r="M168" s="16"/>
      <c r="N168" s="16"/>
    </row>
    <row r="169" spans="3:14">
      <c r="C169" s="18">
        <f t="shared" si="2"/>
        <v>40</v>
      </c>
      <c r="D169" s="18" t="s">
        <v>71</v>
      </c>
      <c r="E169" s="29">
        <v>63</v>
      </c>
      <c r="F169" s="29" t="s">
        <v>176</v>
      </c>
      <c r="G169" s="29" t="s">
        <v>149</v>
      </c>
      <c r="H169" s="29">
        <v>15.1</v>
      </c>
      <c r="I169" s="29" t="s">
        <v>276</v>
      </c>
      <c r="J169" s="18">
        <v>1.7</v>
      </c>
      <c r="K169" s="30">
        <v>3.1</v>
      </c>
      <c r="L169" s="18">
        <v>4.8</v>
      </c>
      <c r="M169" s="16"/>
      <c r="N169" s="16"/>
    </row>
    <row r="170" spans="3:14">
      <c r="C170" s="18">
        <f t="shared" si="2"/>
        <v>41</v>
      </c>
      <c r="D170" s="18" t="s">
        <v>71</v>
      </c>
      <c r="E170" s="29">
        <v>63</v>
      </c>
      <c r="F170" s="29" t="s">
        <v>149</v>
      </c>
      <c r="G170" s="29" t="s">
        <v>205</v>
      </c>
      <c r="H170" s="29">
        <v>47.4</v>
      </c>
      <c r="I170" s="29" t="s">
        <v>276</v>
      </c>
      <c r="J170" s="18">
        <v>1.7</v>
      </c>
      <c r="K170" s="30">
        <v>3.1</v>
      </c>
      <c r="L170" s="18">
        <v>4.8</v>
      </c>
      <c r="M170" s="16"/>
      <c r="N170" s="16"/>
    </row>
    <row r="171" spans="3:14">
      <c r="C171" s="18">
        <f t="shared" si="2"/>
        <v>42</v>
      </c>
      <c r="D171" s="18" t="s">
        <v>71</v>
      </c>
      <c r="E171" s="29">
        <v>63</v>
      </c>
      <c r="F171" s="29" t="s">
        <v>248</v>
      </c>
      <c r="G171" s="29" t="s">
        <v>149</v>
      </c>
      <c r="H171" s="29">
        <v>189.4</v>
      </c>
      <c r="I171" s="29" t="s">
        <v>276</v>
      </c>
      <c r="J171" s="18">
        <v>1.7</v>
      </c>
      <c r="K171" s="30">
        <v>3.1</v>
      </c>
      <c r="L171" s="18">
        <v>4.8</v>
      </c>
      <c r="M171" s="16"/>
      <c r="N171" s="16"/>
    </row>
    <row r="172" spans="3:14">
      <c r="C172" s="18">
        <f t="shared" si="2"/>
        <v>43</v>
      </c>
      <c r="D172" s="18" t="s">
        <v>71</v>
      </c>
      <c r="E172" s="29">
        <v>75</v>
      </c>
      <c r="F172" s="29" t="s">
        <v>533</v>
      </c>
      <c r="G172" s="29" t="s">
        <v>231</v>
      </c>
      <c r="H172" s="29">
        <v>115.6</v>
      </c>
      <c r="I172" s="29" t="s">
        <v>276</v>
      </c>
      <c r="J172" s="18">
        <v>1.7</v>
      </c>
      <c r="K172" s="30">
        <v>3.1</v>
      </c>
      <c r="L172" s="18">
        <v>4.8</v>
      </c>
      <c r="M172" s="16"/>
      <c r="N172" s="16"/>
    </row>
    <row r="173" spans="3:14">
      <c r="C173" s="18">
        <f t="shared" si="2"/>
        <v>44</v>
      </c>
      <c r="D173" s="18" t="s">
        <v>71</v>
      </c>
      <c r="E173" s="29">
        <v>63</v>
      </c>
      <c r="F173" s="29" t="s">
        <v>231</v>
      </c>
      <c r="G173" s="29" t="s">
        <v>230</v>
      </c>
      <c r="H173" s="29">
        <v>124.9</v>
      </c>
      <c r="I173" s="29" t="s">
        <v>276</v>
      </c>
      <c r="J173" s="18">
        <v>1.7</v>
      </c>
      <c r="K173" s="30">
        <v>3.1</v>
      </c>
      <c r="L173" s="18">
        <v>4.8</v>
      </c>
      <c r="M173" s="16"/>
      <c r="N173" s="16"/>
    </row>
    <row r="174" spans="3:14">
      <c r="C174" s="18">
        <f t="shared" si="2"/>
        <v>45</v>
      </c>
      <c r="D174" s="18" t="s">
        <v>71</v>
      </c>
      <c r="E174" s="29">
        <v>63</v>
      </c>
      <c r="F174" s="29" t="s">
        <v>230</v>
      </c>
      <c r="G174" s="29" t="s">
        <v>221</v>
      </c>
      <c r="H174" s="29">
        <v>23.5</v>
      </c>
      <c r="I174" s="29" t="s">
        <v>276</v>
      </c>
      <c r="J174" s="18">
        <v>1.7</v>
      </c>
      <c r="K174" s="30">
        <v>3.1</v>
      </c>
      <c r="L174" s="18">
        <v>4.8</v>
      </c>
      <c r="M174" s="16"/>
      <c r="N174" s="16"/>
    </row>
    <row r="175" spans="3:14">
      <c r="C175" s="18">
        <f t="shared" si="2"/>
        <v>46</v>
      </c>
      <c r="D175" s="18" t="s">
        <v>71</v>
      </c>
      <c r="E175" s="29">
        <v>63</v>
      </c>
      <c r="F175" s="29" t="s">
        <v>230</v>
      </c>
      <c r="G175" s="29" t="s">
        <v>357</v>
      </c>
      <c r="H175" s="29">
        <v>254.9</v>
      </c>
      <c r="I175" s="29" t="s">
        <v>276</v>
      </c>
      <c r="J175" s="18">
        <v>1.7</v>
      </c>
      <c r="K175" s="30">
        <v>3.1</v>
      </c>
      <c r="L175" s="18">
        <v>4.8</v>
      </c>
      <c r="M175" s="16"/>
      <c r="N175" s="16"/>
    </row>
    <row r="176" spans="3:14" ht="15" customHeight="1">
      <c r="C176" s="374"/>
      <c r="D176" s="374"/>
      <c r="E176" s="374"/>
      <c r="F176" s="374"/>
      <c r="G176" s="374"/>
      <c r="H176" s="374"/>
      <c r="I176" s="374"/>
      <c r="J176" s="374"/>
      <c r="K176" s="374"/>
      <c r="L176" s="374"/>
      <c r="M176" s="374"/>
      <c r="N176" s="374"/>
    </row>
    <row r="177" spans="2:14" ht="15" customHeight="1">
      <c r="C177" s="324"/>
      <c r="D177" s="324"/>
      <c r="E177" s="325" t="s">
        <v>86</v>
      </c>
      <c r="F177" s="325"/>
      <c r="G177" s="325"/>
      <c r="H177" s="325"/>
      <c r="I177" s="325" t="s">
        <v>87</v>
      </c>
      <c r="J177" s="325"/>
      <c r="K177" s="325"/>
      <c r="L177" s="325" t="s">
        <v>39</v>
      </c>
      <c r="M177" s="325"/>
      <c r="N177" s="325"/>
    </row>
    <row r="178" spans="2:14" ht="15" customHeight="1">
      <c r="C178" s="295" t="s">
        <v>40</v>
      </c>
      <c r="D178" s="295"/>
      <c r="E178" s="317"/>
      <c r="F178" s="317"/>
      <c r="G178" s="317"/>
      <c r="H178" s="317"/>
      <c r="I178" s="317"/>
      <c r="J178" s="317"/>
      <c r="K178" s="317"/>
      <c r="L178" s="317"/>
      <c r="M178" s="317"/>
      <c r="N178" s="317"/>
    </row>
    <row r="179" spans="2:14">
      <c r="C179" s="295" t="s">
        <v>41</v>
      </c>
      <c r="D179" s="295"/>
      <c r="E179" s="317"/>
      <c r="F179" s="317"/>
      <c r="G179" s="317"/>
      <c r="H179" s="317"/>
      <c r="I179" s="317"/>
      <c r="J179" s="317"/>
      <c r="K179" s="317"/>
      <c r="L179" s="317"/>
      <c r="M179" s="317"/>
      <c r="N179" s="317"/>
    </row>
    <row r="180" spans="2:14">
      <c r="C180" s="295" t="s">
        <v>42</v>
      </c>
      <c r="D180" s="295"/>
      <c r="E180" s="317"/>
      <c r="F180" s="317"/>
      <c r="G180" s="317"/>
      <c r="H180" s="317"/>
      <c r="I180" s="317"/>
      <c r="J180" s="317"/>
      <c r="K180" s="317"/>
      <c r="L180" s="317"/>
      <c r="M180" s="317"/>
      <c r="N180" s="317"/>
    </row>
    <row r="181" spans="2:14">
      <c r="C181" s="295" t="s">
        <v>43</v>
      </c>
      <c r="D181" s="295"/>
      <c r="E181" s="315"/>
      <c r="F181" s="316"/>
      <c r="G181" s="316"/>
      <c r="H181" s="316"/>
      <c r="I181" s="317"/>
      <c r="J181" s="317"/>
      <c r="K181" s="317"/>
      <c r="L181" s="317"/>
      <c r="M181" s="317"/>
      <c r="N181" s="317"/>
    </row>
    <row r="182" spans="2:14" ht="16.5">
      <c r="B182" s="36"/>
      <c r="C182" s="375"/>
      <c r="D182" s="375"/>
      <c r="E182" s="39"/>
      <c r="F182" s="39"/>
      <c r="G182" s="39"/>
      <c r="H182" s="39"/>
      <c r="I182" s="39"/>
      <c r="J182" s="39"/>
      <c r="K182" s="39"/>
      <c r="L182" s="39"/>
      <c r="M182" s="39"/>
      <c r="N182" s="39"/>
    </row>
    <row r="183" spans="2:14">
      <c r="C183" s="206"/>
      <c r="D183" s="211" t="s">
        <v>44</v>
      </c>
      <c r="E183" s="212"/>
      <c r="F183" s="212"/>
      <c r="G183" s="212"/>
      <c r="H183" s="212"/>
      <c r="I183" s="212"/>
      <c r="J183" s="212"/>
      <c r="K183" s="212"/>
      <c r="L183" s="20"/>
      <c r="M183" s="20"/>
      <c r="N183" s="21"/>
    </row>
    <row r="184" spans="2:14">
      <c r="C184" s="207"/>
      <c r="D184" s="214"/>
      <c r="E184" s="215"/>
      <c r="F184" s="215"/>
      <c r="G184" s="215"/>
      <c r="H184" s="215"/>
      <c r="I184" s="215"/>
      <c r="J184" s="215"/>
      <c r="K184" s="215"/>
      <c r="N184" s="22"/>
    </row>
    <row r="185" spans="2:14">
      <c r="C185" s="207"/>
      <c r="D185" s="214"/>
      <c r="E185" s="215"/>
      <c r="F185" s="215"/>
      <c r="G185" s="215"/>
      <c r="H185" s="215"/>
      <c r="I185" s="215"/>
      <c r="J185" s="215"/>
      <c r="K185" s="215"/>
      <c r="N185" s="22"/>
    </row>
    <row r="186" spans="2:14">
      <c r="C186" s="207"/>
      <c r="D186" s="289"/>
      <c r="E186" s="290"/>
      <c r="F186" s="290"/>
      <c r="G186" s="290"/>
      <c r="H186" s="290"/>
      <c r="I186" s="290"/>
      <c r="J186" s="290"/>
      <c r="K186" s="290"/>
      <c r="N186" s="22"/>
    </row>
    <row r="187" spans="2:14" ht="16.5">
      <c r="C187" s="223" t="s">
        <v>45</v>
      </c>
      <c r="D187" s="224"/>
      <c r="E187" s="7" t="s">
        <v>46</v>
      </c>
      <c r="F187" s="8"/>
      <c r="G187" s="8"/>
      <c r="H187" s="8"/>
      <c r="I187" s="8"/>
      <c r="J187" s="8"/>
      <c r="K187" s="8"/>
      <c r="L187" s="8"/>
      <c r="M187" s="8"/>
      <c r="N187" s="23"/>
    </row>
    <row r="188" spans="2:14" ht="16.5">
      <c r="C188" s="223" t="s">
        <v>48</v>
      </c>
      <c r="D188" s="224"/>
      <c r="E188" s="7" t="s">
        <v>49</v>
      </c>
      <c r="F188" s="8"/>
      <c r="G188" s="8"/>
      <c r="H188" s="8"/>
      <c r="I188" s="8"/>
      <c r="J188" s="8"/>
      <c r="K188" s="8"/>
      <c r="L188" s="8"/>
      <c r="M188" s="8"/>
      <c r="N188" s="23"/>
    </row>
    <row r="189" spans="2:14" ht="16.5">
      <c r="C189" s="225" t="s">
        <v>50</v>
      </c>
      <c r="D189" s="226"/>
      <c r="E189" s="7" t="s">
        <v>51</v>
      </c>
      <c r="F189" s="8"/>
      <c r="G189" s="8"/>
      <c r="H189" s="8"/>
      <c r="I189" s="8"/>
      <c r="J189" s="8"/>
      <c r="K189" s="8"/>
      <c r="L189" s="8"/>
      <c r="M189" s="8"/>
      <c r="N189" s="23"/>
    </row>
    <row r="190" spans="2:14" ht="16.5">
      <c r="C190" s="223" t="s">
        <v>52</v>
      </c>
      <c r="D190" s="224"/>
      <c r="E190" s="7" t="s">
        <v>53</v>
      </c>
      <c r="F190" s="8"/>
      <c r="G190" s="8"/>
      <c r="H190" s="8"/>
      <c r="I190" s="8"/>
      <c r="J190" s="8"/>
      <c r="K190" s="8"/>
      <c r="L190" s="8"/>
      <c r="M190" s="8"/>
      <c r="N190" s="23"/>
    </row>
    <row r="191" spans="2:14" ht="15.75">
      <c r="C191" s="227" t="s">
        <v>1095</v>
      </c>
      <c r="D191" s="228"/>
      <c r="E191" s="228"/>
      <c r="F191" s="228"/>
      <c r="G191" s="228"/>
      <c r="H191" s="228"/>
      <c r="I191" s="228"/>
      <c r="J191" s="228"/>
      <c r="K191" s="228"/>
      <c r="L191" s="228"/>
      <c r="M191" s="228"/>
      <c r="N191" s="229"/>
    </row>
    <row r="192" spans="2:14" ht="15.75">
      <c r="C192" s="11" t="s">
        <v>55</v>
      </c>
      <c r="E192" s="12"/>
      <c r="F192" s="12"/>
      <c r="G192" s="12"/>
      <c r="H192" s="12"/>
      <c r="I192" s="24" t="s">
        <v>56</v>
      </c>
      <c r="J192" s="25"/>
      <c r="K192" s="12"/>
      <c r="L192" s="12"/>
      <c r="M192" s="12"/>
      <c r="N192" s="26"/>
    </row>
    <row r="193" spans="3:14">
      <c r="C193" s="217"/>
      <c r="D193" s="218"/>
      <c r="E193" s="218"/>
      <c r="F193" s="218"/>
      <c r="G193" s="218"/>
      <c r="H193" s="218"/>
      <c r="I193" s="218"/>
      <c r="J193" s="218"/>
      <c r="K193" s="218"/>
      <c r="L193" s="218"/>
      <c r="M193" s="218"/>
      <c r="N193" s="219"/>
    </row>
    <row r="194" spans="3:14" ht="15.75">
      <c r="C194" s="15" t="s">
        <v>103</v>
      </c>
      <c r="D194" s="355"/>
      <c r="E194" s="356"/>
      <c r="F194" s="356"/>
      <c r="G194" s="356"/>
      <c r="H194" s="357"/>
      <c r="I194" s="368" t="s">
        <v>542</v>
      </c>
      <c r="J194" s="369"/>
      <c r="K194" s="369"/>
      <c r="L194" s="369"/>
      <c r="M194" s="369"/>
      <c r="N194" s="370"/>
    </row>
    <row r="195" spans="3:14">
      <c r="C195" s="329" t="s">
        <v>59</v>
      </c>
      <c r="D195" s="209" t="s">
        <v>60</v>
      </c>
      <c r="E195" s="209" t="s">
        <v>659</v>
      </c>
      <c r="F195" s="209" t="s">
        <v>62</v>
      </c>
      <c r="G195" s="209" t="s">
        <v>63</v>
      </c>
      <c r="H195" s="209" t="s">
        <v>64</v>
      </c>
      <c r="I195" s="209" t="s">
        <v>65</v>
      </c>
      <c r="J195" s="342" t="s">
        <v>66</v>
      </c>
      <c r="K195" s="343"/>
      <c r="L195" s="344"/>
      <c r="M195" s="209" t="s">
        <v>30</v>
      </c>
      <c r="N195" s="328" t="s">
        <v>67</v>
      </c>
    </row>
    <row r="196" spans="3:14" ht="60">
      <c r="C196" s="359"/>
      <c r="D196" s="292"/>
      <c r="E196" s="292"/>
      <c r="F196" s="292"/>
      <c r="G196" s="292"/>
      <c r="H196" s="292"/>
      <c r="I196" s="292"/>
      <c r="J196" s="17" t="s">
        <v>68</v>
      </c>
      <c r="K196" s="28" t="s">
        <v>999</v>
      </c>
      <c r="L196" s="17" t="s">
        <v>70</v>
      </c>
      <c r="M196" s="292"/>
      <c r="N196" s="360"/>
    </row>
    <row r="197" spans="3:14">
      <c r="C197" s="18">
        <v>1</v>
      </c>
      <c r="D197" s="18" t="s">
        <v>71</v>
      </c>
      <c r="E197" s="29">
        <v>63</v>
      </c>
      <c r="F197" s="29" t="s">
        <v>357</v>
      </c>
      <c r="G197" s="29" t="s">
        <v>246</v>
      </c>
      <c r="H197" s="29">
        <v>33</v>
      </c>
      <c r="I197" s="29" t="s">
        <v>276</v>
      </c>
      <c r="J197" s="18">
        <v>1.7</v>
      </c>
      <c r="K197" s="30">
        <v>3.1</v>
      </c>
      <c r="L197" s="18">
        <v>4.8</v>
      </c>
      <c r="M197" s="16"/>
      <c r="N197" s="16"/>
    </row>
    <row r="198" spans="3:14">
      <c r="C198" s="18">
        <f>1+C197</f>
        <v>2</v>
      </c>
      <c r="D198" s="18" t="s">
        <v>71</v>
      </c>
      <c r="E198" s="29">
        <v>63</v>
      </c>
      <c r="F198" s="29" t="s">
        <v>357</v>
      </c>
      <c r="G198" s="29" t="s">
        <v>246</v>
      </c>
      <c r="H198" s="29">
        <f>173.3-33</f>
        <v>140.30000000000001</v>
      </c>
      <c r="I198" s="29" t="s">
        <v>276</v>
      </c>
      <c r="J198" s="18">
        <v>1.7</v>
      </c>
      <c r="K198" s="30">
        <v>3.1</v>
      </c>
      <c r="L198" s="18">
        <v>4.8</v>
      </c>
      <c r="M198" s="16"/>
      <c r="N198" s="16"/>
    </row>
    <row r="199" spans="3:14">
      <c r="C199" s="18">
        <f t="shared" ref="C199:C228" si="3">1+C198</f>
        <v>3</v>
      </c>
      <c r="D199" s="18" t="s">
        <v>71</v>
      </c>
      <c r="E199" s="29">
        <v>63</v>
      </c>
      <c r="F199" s="29" t="s">
        <v>246</v>
      </c>
      <c r="G199" s="29" t="s">
        <v>1113</v>
      </c>
      <c r="H199" s="29">
        <v>39.799999999999997</v>
      </c>
      <c r="I199" s="29" t="s">
        <v>276</v>
      </c>
      <c r="J199" s="18">
        <v>1.7</v>
      </c>
      <c r="K199" s="30">
        <v>3.1</v>
      </c>
      <c r="L199" s="18">
        <v>4.8</v>
      </c>
      <c r="M199" s="16"/>
      <c r="N199" s="16"/>
    </row>
    <row r="200" spans="3:14">
      <c r="C200" s="18">
        <f t="shared" si="3"/>
        <v>4</v>
      </c>
      <c r="D200" s="18" t="s">
        <v>71</v>
      </c>
      <c r="E200" s="29">
        <v>63</v>
      </c>
      <c r="F200" s="29" t="s">
        <v>246</v>
      </c>
      <c r="G200" s="29" t="s">
        <v>1114</v>
      </c>
      <c r="H200" s="29">
        <v>212.5</v>
      </c>
      <c r="I200" s="29" t="s">
        <v>276</v>
      </c>
      <c r="J200" s="18">
        <v>1.7</v>
      </c>
      <c r="K200" s="30">
        <v>3.1</v>
      </c>
      <c r="L200" s="18">
        <v>4.8</v>
      </c>
      <c r="M200" s="16"/>
      <c r="N200" s="16"/>
    </row>
    <row r="201" spans="3:14">
      <c r="C201" s="18">
        <f t="shared" si="3"/>
        <v>5</v>
      </c>
      <c r="D201" s="18" t="s">
        <v>71</v>
      </c>
      <c r="E201" s="29">
        <v>63</v>
      </c>
      <c r="F201" s="29" t="s">
        <v>357</v>
      </c>
      <c r="G201" s="29" t="s">
        <v>505</v>
      </c>
      <c r="H201" s="29">
        <v>207.4</v>
      </c>
      <c r="I201" s="29" t="s">
        <v>276</v>
      </c>
      <c r="J201" s="18">
        <v>1.7</v>
      </c>
      <c r="K201" s="30">
        <v>3.1</v>
      </c>
      <c r="L201" s="18">
        <v>4.8</v>
      </c>
      <c r="M201" s="16"/>
      <c r="N201" s="16"/>
    </row>
    <row r="202" spans="3:14">
      <c r="C202" s="18">
        <f t="shared" si="3"/>
        <v>6</v>
      </c>
      <c r="D202" s="18" t="s">
        <v>71</v>
      </c>
      <c r="E202" s="29">
        <v>63</v>
      </c>
      <c r="F202" s="29" t="s">
        <v>247</v>
      </c>
      <c r="G202" s="29" t="s">
        <v>536</v>
      </c>
      <c r="H202" s="29">
        <v>48.5</v>
      </c>
      <c r="I202" s="29" t="s">
        <v>276</v>
      </c>
      <c r="J202" s="18">
        <v>1.7</v>
      </c>
      <c r="K202" s="30">
        <v>3.1</v>
      </c>
      <c r="L202" s="18">
        <v>4.8</v>
      </c>
      <c r="M202" s="16"/>
      <c r="N202" s="16"/>
    </row>
    <row r="203" spans="3:14">
      <c r="C203" s="18">
        <f t="shared" si="3"/>
        <v>7</v>
      </c>
      <c r="D203" s="18" t="s">
        <v>71</v>
      </c>
      <c r="E203" s="29">
        <v>63</v>
      </c>
      <c r="F203" s="29" t="s">
        <v>247</v>
      </c>
      <c r="G203" s="29" t="s">
        <v>145</v>
      </c>
      <c r="H203" s="29">
        <v>34.200000000000003</v>
      </c>
      <c r="I203" s="29" t="s">
        <v>276</v>
      </c>
      <c r="J203" s="18">
        <v>1.7</v>
      </c>
      <c r="K203" s="30">
        <v>3.1</v>
      </c>
      <c r="L203" s="18">
        <v>4.8</v>
      </c>
      <c r="M203" s="16"/>
      <c r="N203" s="16"/>
    </row>
    <row r="204" spans="3:14">
      <c r="C204" s="18">
        <f t="shared" si="3"/>
        <v>8</v>
      </c>
      <c r="D204" s="18" t="s">
        <v>71</v>
      </c>
      <c r="E204" s="29">
        <v>63</v>
      </c>
      <c r="F204" s="29" t="s">
        <v>520</v>
      </c>
      <c r="G204" s="29" t="s">
        <v>145</v>
      </c>
      <c r="H204" s="29">
        <v>32</v>
      </c>
      <c r="I204" s="29" t="s">
        <v>276</v>
      </c>
      <c r="J204" s="18">
        <v>1.7</v>
      </c>
      <c r="K204" s="30">
        <v>3.1</v>
      </c>
      <c r="L204" s="18">
        <v>4.8</v>
      </c>
      <c r="M204" s="16"/>
      <c r="N204" s="16"/>
    </row>
    <row r="205" spans="3:14">
      <c r="C205" s="18">
        <f t="shared" si="3"/>
        <v>9</v>
      </c>
      <c r="D205" s="18" t="s">
        <v>71</v>
      </c>
      <c r="E205" s="29">
        <v>63</v>
      </c>
      <c r="F205" s="29" t="s">
        <v>145</v>
      </c>
      <c r="G205" s="29" t="s">
        <v>399</v>
      </c>
      <c r="H205" s="29">
        <v>27.6</v>
      </c>
      <c r="I205" s="29" t="s">
        <v>276</v>
      </c>
      <c r="J205" s="18">
        <v>1.7</v>
      </c>
      <c r="K205" s="30">
        <v>3.1</v>
      </c>
      <c r="L205" s="18">
        <v>4.8</v>
      </c>
      <c r="M205" s="16"/>
      <c r="N205" s="16"/>
    </row>
    <row r="206" spans="3:14">
      <c r="C206" s="18">
        <f t="shared" si="3"/>
        <v>10</v>
      </c>
      <c r="D206" s="18" t="s">
        <v>71</v>
      </c>
      <c r="E206" s="29">
        <v>63</v>
      </c>
      <c r="F206" s="29" t="s">
        <v>399</v>
      </c>
      <c r="G206" s="29" t="s">
        <v>402</v>
      </c>
      <c r="H206" s="29">
        <v>40.799999999999997</v>
      </c>
      <c r="I206" s="29" t="s">
        <v>276</v>
      </c>
      <c r="J206" s="18">
        <v>1.7</v>
      </c>
      <c r="K206" s="30">
        <v>3.1</v>
      </c>
      <c r="L206" s="18">
        <v>4.8</v>
      </c>
      <c r="M206" s="16"/>
      <c r="N206" s="16"/>
    </row>
    <row r="207" spans="3:14">
      <c r="C207" s="18">
        <f t="shared" si="3"/>
        <v>11</v>
      </c>
      <c r="D207" s="18" t="s">
        <v>71</v>
      </c>
      <c r="E207" s="29">
        <v>63</v>
      </c>
      <c r="F207" s="29" t="s">
        <v>399</v>
      </c>
      <c r="G207" s="29" t="s">
        <v>129</v>
      </c>
      <c r="H207" s="29">
        <v>8.1999999999999993</v>
      </c>
      <c r="I207" s="29" t="s">
        <v>276</v>
      </c>
      <c r="J207" s="18">
        <v>1.7</v>
      </c>
      <c r="K207" s="30">
        <v>3.1</v>
      </c>
      <c r="L207" s="18">
        <v>4.8</v>
      </c>
      <c r="M207" s="16"/>
      <c r="N207" s="16"/>
    </row>
    <row r="208" spans="3:14">
      <c r="C208" s="18">
        <f t="shared" si="3"/>
        <v>12</v>
      </c>
      <c r="D208" s="18" t="s">
        <v>71</v>
      </c>
      <c r="E208" s="29">
        <v>63</v>
      </c>
      <c r="F208" s="29" t="s">
        <v>399</v>
      </c>
      <c r="G208" s="29" t="s">
        <v>129</v>
      </c>
      <c r="H208" s="29">
        <v>3.5</v>
      </c>
      <c r="I208" s="29" t="s">
        <v>276</v>
      </c>
      <c r="J208" s="18">
        <v>1.7</v>
      </c>
      <c r="K208" s="30">
        <v>3.1</v>
      </c>
      <c r="L208" s="18">
        <v>4.8</v>
      </c>
      <c r="M208" s="16"/>
      <c r="N208" s="16"/>
    </row>
    <row r="209" spans="3:14">
      <c r="C209" s="18">
        <f t="shared" si="3"/>
        <v>13</v>
      </c>
      <c r="D209" s="18" t="s">
        <v>71</v>
      </c>
      <c r="E209" s="29">
        <v>63</v>
      </c>
      <c r="F209" s="29" t="s">
        <v>399</v>
      </c>
      <c r="G209" s="29" t="s">
        <v>129</v>
      </c>
      <c r="H209" s="29">
        <v>1.7</v>
      </c>
      <c r="I209" s="29" t="s">
        <v>276</v>
      </c>
      <c r="J209" s="18">
        <v>1.7</v>
      </c>
      <c r="K209" s="30">
        <v>3.1</v>
      </c>
      <c r="L209" s="18">
        <v>4.8</v>
      </c>
      <c r="M209" s="16"/>
      <c r="N209" s="16"/>
    </row>
    <row r="210" spans="3:14">
      <c r="C210" s="18">
        <f t="shared" si="3"/>
        <v>14</v>
      </c>
      <c r="D210" s="18" t="s">
        <v>71</v>
      </c>
      <c r="E210" s="29">
        <v>110</v>
      </c>
      <c r="F210" s="29" t="s">
        <v>129</v>
      </c>
      <c r="G210" s="29" t="s">
        <v>1115</v>
      </c>
      <c r="H210" s="29">
        <v>29.5</v>
      </c>
      <c r="I210" s="29" t="s">
        <v>276</v>
      </c>
      <c r="J210" s="18">
        <v>1.7</v>
      </c>
      <c r="K210" s="30">
        <v>3.1</v>
      </c>
      <c r="L210" s="18">
        <v>4.8</v>
      </c>
      <c r="M210" s="16"/>
      <c r="N210" s="16"/>
    </row>
    <row r="211" spans="3:14">
      <c r="C211" s="18">
        <f t="shared" si="3"/>
        <v>15</v>
      </c>
      <c r="D211" s="18" t="s">
        <v>71</v>
      </c>
      <c r="E211" s="29">
        <v>63</v>
      </c>
      <c r="F211" s="29" t="s">
        <v>1115</v>
      </c>
      <c r="G211" s="29" t="s">
        <v>1116</v>
      </c>
      <c r="H211" s="29">
        <v>29.7</v>
      </c>
      <c r="I211" s="29" t="s">
        <v>276</v>
      </c>
      <c r="J211" s="18">
        <v>1.7</v>
      </c>
      <c r="K211" s="30">
        <v>3.1</v>
      </c>
      <c r="L211" s="18">
        <v>4.8</v>
      </c>
      <c r="M211" s="16"/>
      <c r="N211" s="16"/>
    </row>
    <row r="212" spans="3:14">
      <c r="C212" s="18">
        <f t="shared" si="3"/>
        <v>16</v>
      </c>
      <c r="D212" s="18" t="s">
        <v>71</v>
      </c>
      <c r="E212" s="29">
        <v>110</v>
      </c>
      <c r="F212" s="29" t="s">
        <v>1115</v>
      </c>
      <c r="G212" s="29" t="s">
        <v>275</v>
      </c>
      <c r="H212" s="29">
        <v>88.1</v>
      </c>
      <c r="I212" s="29" t="s">
        <v>276</v>
      </c>
      <c r="J212" s="18">
        <v>1.7</v>
      </c>
      <c r="K212" s="30">
        <v>3.1</v>
      </c>
      <c r="L212" s="18">
        <v>4.8</v>
      </c>
      <c r="M212" s="16"/>
      <c r="N212" s="16"/>
    </row>
    <row r="213" spans="3:14">
      <c r="C213" s="18">
        <f t="shared" si="3"/>
        <v>17</v>
      </c>
      <c r="D213" s="18" t="s">
        <v>71</v>
      </c>
      <c r="E213" s="29">
        <v>110</v>
      </c>
      <c r="F213" s="29" t="s">
        <v>129</v>
      </c>
      <c r="G213" s="29" t="s">
        <v>403</v>
      </c>
      <c r="H213" s="29">
        <v>40.6</v>
      </c>
      <c r="I213" s="29" t="s">
        <v>276</v>
      </c>
      <c r="J213" s="18">
        <v>1.7</v>
      </c>
      <c r="K213" s="30">
        <v>3.1</v>
      </c>
      <c r="L213" s="18">
        <v>4.8</v>
      </c>
      <c r="M213" s="16"/>
      <c r="N213" s="16"/>
    </row>
    <row r="214" spans="3:14">
      <c r="C214" s="18">
        <f t="shared" si="3"/>
        <v>18</v>
      </c>
      <c r="D214" s="18" t="s">
        <v>71</v>
      </c>
      <c r="E214" s="29">
        <v>125</v>
      </c>
      <c r="F214" s="29" t="s">
        <v>403</v>
      </c>
      <c r="G214" s="29" t="s">
        <v>708</v>
      </c>
      <c r="H214" s="29">
        <v>233.1</v>
      </c>
      <c r="I214" s="29" t="s">
        <v>276</v>
      </c>
      <c r="J214" s="18">
        <v>1.7</v>
      </c>
      <c r="K214" s="30">
        <v>3.1</v>
      </c>
      <c r="L214" s="18">
        <v>4.8</v>
      </c>
      <c r="M214" s="16"/>
      <c r="N214" s="16"/>
    </row>
    <row r="215" spans="3:14">
      <c r="C215" s="18">
        <f t="shared" si="3"/>
        <v>19</v>
      </c>
      <c r="D215" s="18" t="s">
        <v>71</v>
      </c>
      <c r="E215" s="29">
        <v>140</v>
      </c>
      <c r="F215" s="29" t="s">
        <v>708</v>
      </c>
      <c r="G215" s="29" t="s">
        <v>122</v>
      </c>
      <c r="H215" s="29">
        <v>5.6</v>
      </c>
      <c r="I215" s="29" t="s">
        <v>276</v>
      </c>
      <c r="J215" s="18">
        <v>1.7</v>
      </c>
      <c r="K215" s="30">
        <v>3.1</v>
      </c>
      <c r="L215" s="18">
        <v>4.8</v>
      </c>
      <c r="M215" s="16"/>
      <c r="N215" s="16"/>
    </row>
    <row r="216" spans="3:14">
      <c r="C216" s="18">
        <f t="shared" si="3"/>
        <v>20</v>
      </c>
      <c r="D216" s="18" t="s">
        <v>71</v>
      </c>
      <c r="E216" s="29">
        <v>140</v>
      </c>
      <c r="F216" s="29" t="s">
        <v>708</v>
      </c>
      <c r="G216" s="29" t="s">
        <v>122</v>
      </c>
      <c r="H216" s="29">
        <v>175.7</v>
      </c>
      <c r="I216" s="29" t="s">
        <v>276</v>
      </c>
      <c r="J216" s="18">
        <v>1.7</v>
      </c>
      <c r="K216" s="30">
        <v>3.1</v>
      </c>
      <c r="L216" s="18">
        <v>4.8</v>
      </c>
      <c r="M216" s="16"/>
      <c r="N216" s="16"/>
    </row>
    <row r="217" spans="3:14">
      <c r="C217" s="18">
        <f t="shared" si="3"/>
        <v>21</v>
      </c>
      <c r="D217" s="18" t="s">
        <v>71</v>
      </c>
      <c r="E217" s="29">
        <v>140</v>
      </c>
      <c r="F217" s="29" t="s">
        <v>708</v>
      </c>
      <c r="G217" s="29" t="s">
        <v>242</v>
      </c>
      <c r="H217" s="29">
        <v>58.1</v>
      </c>
      <c r="I217" s="29" t="s">
        <v>276</v>
      </c>
      <c r="J217" s="18">
        <v>1.7</v>
      </c>
      <c r="K217" s="30">
        <v>3.1</v>
      </c>
      <c r="L217" s="18">
        <v>4.8</v>
      </c>
      <c r="M217" s="16"/>
      <c r="N217" s="16"/>
    </row>
    <row r="218" spans="3:14">
      <c r="C218" s="18">
        <f t="shared" si="3"/>
        <v>22</v>
      </c>
      <c r="D218" s="18" t="s">
        <v>71</v>
      </c>
      <c r="E218" s="29">
        <v>140</v>
      </c>
      <c r="F218" s="29" t="s">
        <v>242</v>
      </c>
      <c r="G218" s="29" t="s">
        <v>417</v>
      </c>
      <c r="H218" s="29">
        <v>3.7</v>
      </c>
      <c r="I218" s="29" t="s">
        <v>276</v>
      </c>
      <c r="J218" s="18">
        <v>1.7</v>
      </c>
      <c r="K218" s="30">
        <v>3.1</v>
      </c>
      <c r="L218" s="18">
        <v>4.8</v>
      </c>
      <c r="M218" s="16"/>
      <c r="N218" s="16"/>
    </row>
    <row r="219" spans="3:14">
      <c r="C219" s="18">
        <f t="shared" si="3"/>
        <v>23</v>
      </c>
      <c r="D219" s="18" t="s">
        <v>71</v>
      </c>
      <c r="E219" s="29">
        <v>140</v>
      </c>
      <c r="F219" s="29" t="s">
        <v>242</v>
      </c>
      <c r="G219" s="29" t="s">
        <v>417</v>
      </c>
      <c r="H219" s="29">
        <v>221</v>
      </c>
      <c r="I219" s="29" t="s">
        <v>276</v>
      </c>
      <c r="J219" s="18">
        <v>1.7</v>
      </c>
      <c r="K219" s="30">
        <v>3.1</v>
      </c>
      <c r="L219" s="18">
        <v>4.8</v>
      </c>
      <c r="M219" s="16"/>
      <c r="N219" s="16"/>
    </row>
    <row r="220" spans="3:14">
      <c r="C220" s="18">
        <f t="shared" si="3"/>
        <v>24</v>
      </c>
      <c r="D220" s="18" t="s">
        <v>71</v>
      </c>
      <c r="E220" s="29">
        <v>140</v>
      </c>
      <c r="F220" s="29" t="s">
        <v>242</v>
      </c>
      <c r="G220" s="29" t="s">
        <v>417</v>
      </c>
      <c r="H220" s="29">
        <v>14.2</v>
      </c>
      <c r="I220" s="29" t="s">
        <v>276</v>
      </c>
      <c r="J220" s="18">
        <v>1.7</v>
      </c>
      <c r="K220" s="30">
        <v>3.1</v>
      </c>
      <c r="L220" s="18">
        <v>4.8</v>
      </c>
      <c r="M220" s="16"/>
      <c r="N220" s="16"/>
    </row>
    <row r="221" spans="3:14">
      <c r="C221" s="18">
        <f t="shared" si="3"/>
        <v>25</v>
      </c>
      <c r="D221" s="18" t="s">
        <v>71</v>
      </c>
      <c r="E221" s="29">
        <v>90</v>
      </c>
      <c r="F221" s="29" t="s">
        <v>242</v>
      </c>
      <c r="G221" s="29" t="s">
        <v>506</v>
      </c>
      <c r="H221" s="29">
        <v>231.3</v>
      </c>
      <c r="I221" s="29" t="s">
        <v>276</v>
      </c>
      <c r="J221" s="18">
        <v>1.7</v>
      </c>
      <c r="K221" s="30">
        <v>3.1</v>
      </c>
      <c r="L221" s="18">
        <v>4.8</v>
      </c>
      <c r="M221" s="16"/>
      <c r="N221" s="16"/>
    </row>
    <row r="222" spans="3:14">
      <c r="C222" s="18">
        <f t="shared" si="3"/>
        <v>26</v>
      </c>
      <c r="D222" s="18" t="s">
        <v>71</v>
      </c>
      <c r="E222" s="29">
        <v>75</v>
      </c>
      <c r="F222" s="29" t="s">
        <v>506</v>
      </c>
      <c r="G222" s="29" t="s">
        <v>533</v>
      </c>
      <c r="H222" s="29">
        <v>250.1</v>
      </c>
      <c r="I222" s="29" t="s">
        <v>276</v>
      </c>
      <c r="J222" s="18">
        <v>1.7</v>
      </c>
      <c r="K222" s="30">
        <v>3.1</v>
      </c>
      <c r="L222" s="18">
        <v>4.8</v>
      </c>
      <c r="M222" s="16"/>
      <c r="N222" s="16"/>
    </row>
    <row r="223" spans="3:14">
      <c r="C223" s="18">
        <f t="shared" si="3"/>
        <v>27</v>
      </c>
      <c r="D223" s="18" t="s">
        <v>71</v>
      </c>
      <c r="E223" s="29">
        <v>90</v>
      </c>
      <c r="F223" s="29" t="s">
        <v>533</v>
      </c>
      <c r="G223" s="29" t="s">
        <v>153</v>
      </c>
      <c r="H223" s="29">
        <v>80.5</v>
      </c>
      <c r="I223" s="29" t="s">
        <v>276</v>
      </c>
      <c r="J223" s="18">
        <v>1.7</v>
      </c>
      <c r="K223" s="30">
        <v>3.1</v>
      </c>
      <c r="L223" s="18">
        <v>4.8</v>
      </c>
      <c r="M223" s="16"/>
      <c r="N223" s="16"/>
    </row>
    <row r="224" spans="3:14">
      <c r="C224" s="18">
        <f t="shared" si="3"/>
        <v>28</v>
      </c>
      <c r="D224" s="18" t="s">
        <v>71</v>
      </c>
      <c r="E224" s="29">
        <v>63</v>
      </c>
      <c r="F224" s="29" t="s">
        <v>153</v>
      </c>
      <c r="G224" s="29" t="s">
        <v>180</v>
      </c>
      <c r="H224" s="29">
        <v>96</v>
      </c>
      <c r="I224" s="29" t="s">
        <v>276</v>
      </c>
      <c r="J224" s="18">
        <v>1.7</v>
      </c>
      <c r="K224" s="30">
        <v>3.1</v>
      </c>
      <c r="L224" s="18">
        <v>4.8</v>
      </c>
      <c r="M224" s="16"/>
      <c r="N224" s="16"/>
    </row>
    <row r="225" spans="3:14">
      <c r="C225" s="18">
        <f t="shared" si="3"/>
        <v>29</v>
      </c>
      <c r="D225" s="18" t="s">
        <v>71</v>
      </c>
      <c r="E225" s="29">
        <v>90</v>
      </c>
      <c r="F225" s="29" t="s">
        <v>153</v>
      </c>
      <c r="G225" s="29" t="s">
        <v>238</v>
      </c>
      <c r="H225" s="29">
        <v>100.5</v>
      </c>
      <c r="I225" s="29" t="s">
        <v>276</v>
      </c>
      <c r="J225" s="18">
        <v>1.7</v>
      </c>
      <c r="K225" s="30">
        <v>3.1</v>
      </c>
      <c r="L225" s="18">
        <v>4.8</v>
      </c>
      <c r="M225" s="16"/>
      <c r="N225" s="16"/>
    </row>
    <row r="226" spans="3:14">
      <c r="C226" s="18">
        <f t="shared" si="3"/>
        <v>30</v>
      </c>
      <c r="D226" s="18" t="s">
        <v>71</v>
      </c>
      <c r="E226" s="29">
        <v>110</v>
      </c>
      <c r="F226" s="29" t="s">
        <v>238</v>
      </c>
      <c r="G226" s="29" t="s">
        <v>403</v>
      </c>
      <c r="H226" s="29">
        <v>47.7</v>
      </c>
      <c r="I226" s="29" t="s">
        <v>276</v>
      </c>
      <c r="J226" s="18">
        <v>1.7</v>
      </c>
      <c r="K226" s="30">
        <v>3.1</v>
      </c>
      <c r="L226" s="18">
        <v>4.8</v>
      </c>
      <c r="M226" s="16"/>
      <c r="N226" s="16"/>
    </row>
    <row r="227" spans="3:14">
      <c r="C227" s="18">
        <f t="shared" si="3"/>
        <v>31</v>
      </c>
      <c r="D227" s="18" t="s">
        <v>71</v>
      </c>
      <c r="E227" s="29">
        <v>63</v>
      </c>
      <c r="F227" s="29" t="s">
        <v>116</v>
      </c>
      <c r="G227" s="29" t="s">
        <v>385</v>
      </c>
      <c r="H227" s="29">
        <v>21.6</v>
      </c>
      <c r="I227" s="29" t="s">
        <v>276</v>
      </c>
      <c r="J227" s="18">
        <v>1.7</v>
      </c>
      <c r="K227" s="30">
        <v>3.1</v>
      </c>
      <c r="L227" s="18">
        <v>4.8</v>
      </c>
      <c r="M227" s="16"/>
      <c r="N227" s="16"/>
    </row>
    <row r="228" spans="3:14">
      <c r="C228" s="18">
        <f t="shared" si="3"/>
        <v>32</v>
      </c>
      <c r="D228" s="18" t="s">
        <v>71</v>
      </c>
      <c r="E228" s="29">
        <v>63</v>
      </c>
      <c r="F228" s="29" t="s">
        <v>116</v>
      </c>
      <c r="G228" s="29" t="s">
        <v>385</v>
      </c>
      <c r="H228" s="29">
        <v>21.2</v>
      </c>
      <c r="I228" s="29" t="s">
        <v>276</v>
      </c>
      <c r="J228" s="18">
        <v>1.7</v>
      </c>
      <c r="K228" s="30">
        <v>3.1</v>
      </c>
      <c r="L228" s="18">
        <v>4.8</v>
      </c>
      <c r="M228" s="16"/>
      <c r="N228" s="16"/>
    </row>
    <row r="229" spans="3:14">
      <c r="C229" s="374"/>
      <c r="D229" s="374"/>
      <c r="E229" s="374"/>
      <c r="F229" s="374"/>
      <c r="G229" s="374"/>
      <c r="H229" s="374"/>
      <c r="I229" s="374"/>
      <c r="J229" s="374"/>
      <c r="K229" s="374"/>
      <c r="L229" s="374"/>
      <c r="M229" s="374"/>
      <c r="N229" s="374"/>
    </row>
    <row r="230" spans="3:14">
      <c r="C230" s="324"/>
      <c r="D230" s="324"/>
      <c r="E230" s="325" t="s">
        <v>86</v>
      </c>
      <c r="F230" s="325"/>
      <c r="G230" s="325"/>
      <c r="H230" s="325"/>
      <c r="I230" s="325" t="s">
        <v>87</v>
      </c>
      <c r="J230" s="325"/>
      <c r="K230" s="325"/>
      <c r="L230" s="325" t="s">
        <v>39</v>
      </c>
      <c r="M230" s="325"/>
      <c r="N230" s="325"/>
    </row>
    <row r="231" spans="3:14">
      <c r="C231" s="295" t="s">
        <v>40</v>
      </c>
      <c r="D231" s="295"/>
      <c r="E231" s="317"/>
      <c r="F231" s="317"/>
      <c r="G231" s="317"/>
      <c r="H231" s="317"/>
      <c r="I231" s="317"/>
      <c r="J231" s="317"/>
      <c r="K231" s="317"/>
      <c r="L231" s="317"/>
      <c r="M231" s="317"/>
      <c r="N231" s="317"/>
    </row>
    <row r="232" spans="3:14">
      <c r="C232" s="295" t="s">
        <v>41</v>
      </c>
      <c r="D232" s="295"/>
      <c r="E232" s="317"/>
      <c r="F232" s="317"/>
      <c r="G232" s="317"/>
      <c r="H232" s="317"/>
      <c r="I232" s="317"/>
      <c r="J232" s="317"/>
      <c r="K232" s="317"/>
      <c r="L232" s="317"/>
      <c r="M232" s="317"/>
      <c r="N232" s="317"/>
    </row>
    <row r="233" spans="3:14">
      <c r="C233" s="295" t="s">
        <v>42</v>
      </c>
      <c r="D233" s="295"/>
      <c r="E233" s="317"/>
      <c r="F233" s="317"/>
      <c r="G233" s="317"/>
      <c r="H233" s="317"/>
      <c r="I233" s="317"/>
      <c r="J233" s="317"/>
      <c r="K233" s="317"/>
      <c r="L233" s="317"/>
      <c r="M233" s="317"/>
      <c r="N233" s="317"/>
    </row>
    <row r="234" spans="3:14">
      <c r="C234" s="295" t="s">
        <v>43</v>
      </c>
      <c r="D234" s="295"/>
      <c r="E234" s="315"/>
      <c r="F234" s="316"/>
      <c r="G234" s="316"/>
      <c r="H234" s="316"/>
      <c r="I234" s="317"/>
      <c r="J234" s="317"/>
      <c r="K234" s="317"/>
      <c r="L234" s="317"/>
      <c r="M234" s="317"/>
      <c r="N234" s="317"/>
    </row>
  </sheetData>
  <mergeCells count="186">
    <mergeCell ref="C6:D6"/>
    <mergeCell ref="U6:V6"/>
    <mergeCell ref="C7:D7"/>
    <mergeCell ref="U7:V7"/>
    <mergeCell ref="C8:D8"/>
    <mergeCell ref="U8:V8"/>
    <mergeCell ref="C9:D9"/>
    <mergeCell ref="U9:V9"/>
    <mergeCell ref="C10:N10"/>
    <mergeCell ref="U10:AF10"/>
    <mergeCell ref="C12:N12"/>
    <mergeCell ref="U12:AF12"/>
    <mergeCell ref="D13:H13"/>
    <mergeCell ref="I13:N13"/>
    <mergeCell ref="V13:Z13"/>
    <mergeCell ref="AA13:AF13"/>
    <mergeCell ref="J14:L14"/>
    <mergeCell ref="AB14:AD14"/>
    <mergeCell ref="C37:N37"/>
    <mergeCell ref="E14:E15"/>
    <mergeCell ref="F14:F15"/>
    <mergeCell ref="G14:G15"/>
    <mergeCell ref="H14:H15"/>
    <mergeCell ref="I14:I15"/>
    <mergeCell ref="M14:M15"/>
    <mergeCell ref="N14:N15"/>
    <mergeCell ref="AF14:AF15"/>
    <mergeCell ref="C38:D38"/>
    <mergeCell ref="E38:H38"/>
    <mergeCell ref="I38:K38"/>
    <mergeCell ref="L38:N38"/>
    <mergeCell ref="C39:D39"/>
    <mergeCell ref="E39:H39"/>
    <mergeCell ref="I39:K39"/>
    <mergeCell ref="L39:N39"/>
    <mergeCell ref="C40:D40"/>
    <mergeCell ref="E40:H40"/>
    <mergeCell ref="I40:K40"/>
    <mergeCell ref="L40:N40"/>
    <mergeCell ref="C41:D41"/>
    <mergeCell ref="E41:H41"/>
    <mergeCell ref="I41:K41"/>
    <mergeCell ref="L41:N41"/>
    <mergeCell ref="C42:D42"/>
    <mergeCell ref="E42:H42"/>
    <mergeCell ref="I42:K42"/>
    <mergeCell ref="L42:N42"/>
    <mergeCell ref="C48:D48"/>
    <mergeCell ref="C49:D49"/>
    <mergeCell ref="C50:D50"/>
    <mergeCell ref="C51:D51"/>
    <mergeCell ref="C52:N52"/>
    <mergeCell ref="C54:N54"/>
    <mergeCell ref="D55:H55"/>
    <mergeCell ref="I55:N55"/>
    <mergeCell ref="J56:L56"/>
    <mergeCell ref="U108:AF108"/>
    <mergeCell ref="E56:E57"/>
    <mergeCell ref="F56:F57"/>
    <mergeCell ref="G56:G57"/>
    <mergeCell ref="H56:H57"/>
    <mergeCell ref="I56:I57"/>
    <mergeCell ref="M56:M57"/>
    <mergeCell ref="N56:N57"/>
    <mergeCell ref="C109:N109"/>
    <mergeCell ref="C110:D110"/>
    <mergeCell ref="E110:H110"/>
    <mergeCell ref="I110:K110"/>
    <mergeCell ref="L110:N110"/>
    <mergeCell ref="C111:D111"/>
    <mergeCell ref="E111:H111"/>
    <mergeCell ref="I111:K111"/>
    <mergeCell ref="L111:N111"/>
    <mergeCell ref="C112:D112"/>
    <mergeCell ref="E112:H112"/>
    <mergeCell ref="I112:K112"/>
    <mergeCell ref="L112:N112"/>
    <mergeCell ref="C113:D113"/>
    <mergeCell ref="E113:H113"/>
    <mergeCell ref="I113:K113"/>
    <mergeCell ref="L113:N113"/>
    <mergeCell ref="C114:D114"/>
    <mergeCell ref="E114:H114"/>
    <mergeCell ref="I114:K114"/>
    <mergeCell ref="L114:N114"/>
    <mergeCell ref="C120:D120"/>
    <mergeCell ref="C121:D121"/>
    <mergeCell ref="C122:D122"/>
    <mergeCell ref="C123:D123"/>
    <mergeCell ref="C124:N124"/>
    <mergeCell ref="C126:N126"/>
    <mergeCell ref="D127:H127"/>
    <mergeCell ref="I127:N127"/>
    <mergeCell ref="J128:L128"/>
    <mergeCell ref="E128:E129"/>
    <mergeCell ref="F128:F129"/>
    <mergeCell ref="G128:G129"/>
    <mergeCell ref="H128:H129"/>
    <mergeCell ref="I128:I129"/>
    <mergeCell ref="M128:M129"/>
    <mergeCell ref="N128:N129"/>
    <mergeCell ref="C176:N176"/>
    <mergeCell ref="C177:D177"/>
    <mergeCell ref="E177:H177"/>
    <mergeCell ref="I177:K177"/>
    <mergeCell ref="L177:N177"/>
    <mergeCell ref="C178:D178"/>
    <mergeCell ref="E178:H178"/>
    <mergeCell ref="I178:K178"/>
    <mergeCell ref="L178:N178"/>
    <mergeCell ref="I179:K179"/>
    <mergeCell ref="L179:N179"/>
    <mergeCell ref="C180:D180"/>
    <mergeCell ref="E180:H180"/>
    <mergeCell ref="I180:K180"/>
    <mergeCell ref="L180:N180"/>
    <mergeCell ref="C181:D181"/>
    <mergeCell ref="E181:H181"/>
    <mergeCell ref="I181:K181"/>
    <mergeCell ref="L181:N181"/>
    <mergeCell ref="M195:M196"/>
    <mergeCell ref="N195:N196"/>
    <mergeCell ref="C182:D182"/>
    <mergeCell ref="C187:D187"/>
    <mergeCell ref="C188:D188"/>
    <mergeCell ref="C189:D189"/>
    <mergeCell ref="C190:D190"/>
    <mergeCell ref="C191:N191"/>
    <mergeCell ref="C193:N193"/>
    <mergeCell ref="D194:H194"/>
    <mergeCell ref="I194:N194"/>
    <mergeCell ref="C229:N229"/>
    <mergeCell ref="C230:D230"/>
    <mergeCell ref="E230:H230"/>
    <mergeCell ref="I230:K230"/>
    <mergeCell ref="L230:N230"/>
    <mergeCell ref="C231:D231"/>
    <mergeCell ref="E231:H231"/>
    <mergeCell ref="I231:K231"/>
    <mergeCell ref="L231:N231"/>
    <mergeCell ref="C232:D232"/>
    <mergeCell ref="E232:H232"/>
    <mergeCell ref="I232:K232"/>
    <mergeCell ref="L232:N232"/>
    <mergeCell ref="C233:D233"/>
    <mergeCell ref="E233:H233"/>
    <mergeCell ref="I233:K233"/>
    <mergeCell ref="L233:N233"/>
    <mergeCell ref="C234:D234"/>
    <mergeCell ref="E234:H234"/>
    <mergeCell ref="I234:K234"/>
    <mergeCell ref="L234:N234"/>
    <mergeCell ref="C2:C5"/>
    <mergeCell ref="C14:C15"/>
    <mergeCell ref="C44:C47"/>
    <mergeCell ref="C56:C57"/>
    <mergeCell ref="C116:C119"/>
    <mergeCell ref="C128:C129"/>
    <mergeCell ref="C183:C186"/>
    <mergeCell ref="C195:C196"/>
    <mergeCell ref="D14:D15"/>
    <mergeCell ref="D56:D57"/>
    <mergeCell ref="D128:D129"/>
    <mergeCell ref="D195:D196"/>
    <mergeCell ref="D2:K5"/>
    <mergeCell ref="D44:K47"/>
    <mergeCell ref="D116:K119"/>
    <mergeCell ref="D183:K186"/>
    <mergeCell ref="J195:L195"/>
    <mergeCell ref="E195:E196"/>
    <mergeCell ref="F195:F196"/>
    <mergeCell ref="G195:G196"/>
    <mergeCell ref="H195:H196"/>
    <mergeCell ref="I195:I196"/>
    <mergeCell ref="C179:D179"/>
    <mergeCell ref="E179:H179"/>
    <mergeCell ref="U2:U5"/>
    <mergeCell ref="U14:U15"/>
    <mergeCell ref="V14:V15"/>
    <mergeCell ref="W14:W15"/>
    <mergeCell ref="X14:X15"/>
    <mergeCell ref="Y14:Y15"/>
    <mergeCell ref="Z14:Z15"/>
    <mergeCell ref="AA14:AA15"/>
    <mergeCell ref="AE14:AE15"/>
    <mergeCell ref="V2:AC5"/>
  </mergeCells>
  <pageMargins left="0.7" right="0.7" top="0.75" bottom="0.75" header="0.3" footer="0.3"/>
  <pageSetup orientation="portrait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S226"/>
  <sheetViews>
    <sheetView workbookViewId="0">
      <selection activeCell="G136" sqref="G136"/>
    </sheetView>
  </sheetViews>
  <sheetFormatPr defaultColWidth="9" defaultRowHeight="15"/>
  <sheetData>
    <row r="3" spans="3:14">
      <c r="C3" s="206"/>
      <c r="D3" s="211" t="s">
        <v>44</v>
      </c>
      <c r="E3" s="212"/>
      <c r="F3" s="212"/>
      <c r="G3" s="212"/>
      <c r="H3" s="212"/>
      <c r="I3" s="212"/>
      <c r="J3" s="212"/>
      <c r="K3" s="212"/>
      <c r="L3" s="20"/>
      <c r="M3" s="20"/>
      <c r="N3" s="21"/>
    </row>
    <row r="4" spans="3:14">
      <c r="C4" s="207"/>
      <c r="D4" s="214"/>
      <c r="E4" s="215"/>
      <c r="F4" s="215"/>
      <c r="G4" s="215"/>
      <c r="H4" s="215"/>
      <c r="I4" s="215"/>
      <c r="J4" s="215"/>
      <c r="K4" s="215"/>
      <c r="N4" s="22"/>
    </row>
    <row r="5" spans="3:14">
      <c r="C5" s="207"/>
      <c r="D5" s="214"/>
      <c r="E5" s="215"/>
      <c r="F5" s="215"/>
      <c r="G5" s="215"/>
      <c r="H5" s="215"/>
      <c r="I5" s="215"/>
      <c r="J5" s="215"/>
      <c r="K5" s="215"/>
      <c r="N5" s="22"/>
    </row>
    <row r="6" spans="3:14">
      <c r="C6" s="207"/>
      <c r="D6" s="289"/>
      <c r="E6" s="290"/>
      <c r="F6" s="290"/>
      <c r="G6" s="290"/>
      <c r="H6" s="290"/>
      <c r="I6" s="290"/>
      <c r="J6" s="290"/>
      <c r="K6" s="290"/>
      <c r="N6" s="22"/>
    </row>
    <row r="7" spans="3:14" ht="16.5">
      <c r="C7" s="223" t="s">
        <v>45</v>
      </c>
      <c r="D7" s="224"/>
      <c r="E7" s="7" t="s">
        <v>46</v>
      </c>
      <c r="F7" s="8"/>
      <c r="G7" s="8"/>
      <c r="H7" s="8"/>
      <c r="I7" s="8"/>
      <c r="J7" s="8"/>
      <c r="K7" s="8"/>
      <c r="L7" s="8"/>
      <c r="M7" s="8"/>
      <c r="N7" s="23"/>
    </row>
    <row r="8" spans="3:14" ht="16.5">
      <c r="C8" s="223" t="s">
        <v>48</v>
      </c>
      <c r="D8" s="224"/>
      <c r="E8" s="7" t="s">
        <v>49</v>
      </c>
      <c r="F8" s="8"/>
      <c r="G8" s="8"/>
      <c r="H8" s="8"/>
      <c r="I8" s="8"/>
      <c r="J8" s="8"/>
      <c r="K8" s="8"/>
      <c r="L8" s="8"/>
      <c r="M8" s="8"/>
      <c r="N8" s="23"/>
    </row>
    <row r="9" spans="3:14" ht="16.5">
      <c r="C9" s="225" t="s">
        <v>50</v>
      </c>
      <c r="D9" s="226"/>
      <c r="E9" s="7" t="s">
        <v>51</v>
      </c>
      <c r="F9" s="8"/>
      <c r="G9" s="8"/>
      <c r="H9" s="8"/>
      <c r="I9" s="8"/>
      <c r="J9" s="8"/>
      <c r="K9" s="8"/>
      <c r="L9" s="8"/>
      <c r="M9" s="8"/>
      <c r="N9" s="23"/>
    </row>
    <row r="10" spans="3:14" ht="16.5">
      <c r="C10" s="223" t="s">
        <v>52</v>
      </c>
      <c r="D10" s="224"/>
      <c r="E10" s="7" t="s">
        <v>53</v>
      </c>
      <c r="F10" s="8"/>
      <c r="G10" s="8"/>
      <c r="H10" s="8"/>
      <c r="I10" s="8"/>
      <c r="J10" s="8"/>
      <c r="K10" s="8"/>
      <c r="L10" s="8"/>
      <c r="M10" s="8"/>
      <c r="N10" s="23"/>
    </row>
    <row r="11" spans="3:14" ht="15.75">
      <c r="C11" s="227" t="s">
        <v>1117</v>
      </c>
      <c r="D11" s="228"/>
      <c r="E11" s="228"/>
      <c r="F11" s="228"/>
      <c r="G11" s="228"/>
      <c r="H11" s="228"/>
      <c r="I11" s="228"/>
      <c r="J11" s="228"/>
      <c r="K11" s="228"/>
      <c r="L11" s="228"/>
      <c r="M11" s="228"/>
      <c r="N11" s="229"/>
    </row>
    <row r="12" spans="3:14" ht="15.75">
      <c r="C12" s="11" t="s">
        <v>55</v>
      </c>
      <c r="E12" s="12"/>
      <c r="F12" s="12"/>
      <c r="G12" s="12"/>
      <c r="H12" s="12"/>
      <c r="I12" s="24" t="s">
        <v>56</v>
      </c>
      <c r="J12" s="25"/>
      <c r="K12" s="12"/>
      <c r="L12" s="12"/>
      <c r="M12" s="12"/>
      <c r="N12" s="26"/>
    </row>
    <row r="13" spans="3:14">
      <c r="C13" s="217"/>
      <c r="D13" s="218"/>
      <c r="E13" s="218"/>
      <c r="F13" s="218"/>
      <c r="G13" s="218"/>
      <c r="H13" s="218"/>
      <c r="I13" s="218"/>
      <c r="J13" s="218"/>
      <c r="K13" s="218"/>
      <c r="L13" s="218"/>
      <c r="M13" s="218"/>
      <c r="N13" s="219"/>
    </row>
    <row r="14" spans="3:14" ht="15.75">
      <c r="C14" s="15" t="s">
        <v>103</v>
      </c>
      <c r="D14" s="355"/>
      <c r="E14" s="356"/>
      <c r="F14" s="356"/>
      <c r="G14" s="356"/>
      <c r="H14" s="357"/>
      <c r="I14" s="368" t="s">
        <v>542</v>
      </c>
      <c r="J14" s="369"/>
      <c r="K14" s="369"/>
      <c r="L14" s="369"/>
      <c r="M14" s="369"/>
      <c r="N14" s="370"/>
    </row>
    <row r="15" spans="3:14">
      <c r="C15" s="329" t="s">
        <v>59</v>
      </c>
      <c r="D15" s="209" t="s">
        <v>60</v>
      </c>
      <c r="E15" s="209" t="s">
        <v>659</v>
      </c>
      <c r="F15" s="209" t="s">
        <v>62</v>
      </c>
      <c r="G15" s="209" t="s">
        <v>63</v>
      </c>
      <c r="H15" s="209" t="s">
        <v>64</v>
      </c>
      <c r="I15" s="209" t="s">
        <v>65</v>
      </c>
      <c r="J15" s="342" t="s">
        <v>66</v>
      </c>
      <c r="K15" s="343"/>
      <c r="L15" s="344"/>
      <c r="M15" s="209" t="s">
        <v>30</v>
      </c>
      <c r="N15" s="328" t="s">
        <v>67</v>
      </c>
    </row>
    <row r="16" spans="3:14" ht="60">
      <c r="C16" s="359"/>
      <c r="D16" s="292"/>
      <c r="E16" s="292"/>
      <c r="F16" s="292"/>
      <c r="G16" s="292"/>
      <c r="H16" s="292"/>
      <c r="I16" s="292"/>
      <c r="J16" s="17" t="s">
        <v>68</v>
      </c>
      <c r="K16" s="28" t="s">
        <v>999</v>
      </c>
      <c r="L16" s="17" t="s">
        <v>70</v>
      </c>
      <c r="M16" s="292"/>
      <c r="N16" s="360"/>
    </row>
    <row r="17" spans="3:19">
      <c r="C17" s="18">
        <v>1</v>
      </c>
      <c r="D17" s="18" t="s">
        <v>71</v>
      </c>
      <c r="E17" s="29">
        <v>63</v>
      </c>
      <c r="F17" s="29" t="s">
        <v>739</v>
      </c>
      <c r="G17" s="29">
        <v>183</v>
      </c>
      <c r="H17" s="29">
        <v>63.4</v>
      </c>
      <c r="I17" s="29" t="s">
        <v>276</v>
      </c>
      <c r="J17" s="18">
        <v>1.7</v>
      </c>
      <c r="K17" s="30">
        <v>3.1</v>
      </c>
      <c r="L17" s="18">
        <v>4.8</v>
      </c>
      <c r="M17" s="16"/>
      <c r="N17" s="16"/>
    </row>
    <row r="18" spans="3:19">
      <c r="C18" s="18">
        <f>1+C17</f>
        <v>2</v>
      </c>
      <c r="D18" s="18" t="s">
        <v>71</v>
      </c>
      <c r="E18" s="29">
        <v>63</v>
      </c>
      <c r="F18" s="29">
        <v>183</v>
      </c>
      <c r="G18" s="29">
        <v>195</v>
      </c>
      <c r="H18" s="29">
        <v>77.900000000000006</v>
      </c>
      <c r="I18" s="29" t="s">
        <v>276</v>
      </c>
      <c r="J18" s="18">
        <v>1.7</v>
      </c>
      <c r="K18" s="30">
        <v>3.1</v>
      </c>
      <c r="L18" s="18">
        <v>4.8</v>
      </c>
      <c r="M18" s="16"/>
      <c r="N18" s="16"/>
    </row>
    <row r="19" spans="3:19">
      <c r="C19" s="18">
        <f t="shared" ref="C19:C56" si="0">1+C18</f>
        <v>3</v>
      </c>
      <c r="D19" s="18" t="s">
        <v>71</v>
      </c>
      <c r="E19" s="29">
        <v>63</v>
      </c>
      <c r="F19" s="29">
        <v>195</v>
      </c>
      <c r="G19" s="29">
        <v>196</v>
      </c>
      <c r="H19" s="29">
        <v>22</v>
      </c>
      <c r="I19" s="29" t="s">
        <v>276</v>
      </c>
      <c r="J19" s="18">
        <v>1.7</v>
      </c>
      <c r="K19" s="30">
        <v>3.1</v>
      </c>
      <c r="L19" s="18">
        <v>4.8</v>
      </c>
      <c r="M19" s="16"/>
      <c r="N19" s="16"/>
    </row>
    <row r="20" spans="3:19">
      <c r="C20" s="18">
        <f t="shared" si="0"/>
        <v>4</v>
      </c>
      <c r="D20" s="18" t="s">
        <v>71</v>
      </c>
      <c r="E20" s="29">
        <v>63</v>
      </c>
      <c r="F20" s="29">
        <v>184</v>
      </c>
      <c r="G20" s="29">
        <v>228</v>
      </c>
      <c r="H20" s="29">
        <v>20.5</v>
      </c>
      <c r="I20" s="29" t="s">
        <v>276</v>
      </c>
      <c r="J20" s="18">
        <v>1.7</v>
      </c>
      <c r="K20" s="30">
        <v>3.1</v>
      </c>
      <c r="L20" s="18">
        <v>4.8</v>
      </c>
      <c r="M20" s="16"/>
      <c r="N20" s="16"/>
    </row>
    <row r="21" spans="3:19">
      <c r="C21" s="18">
        <f t="shared" si="0"/>
        <v>5</v>
      </c>
      <c r="D21" s="18" t="s">
        <v>71</v>
      </c>
      <c r="E21" s="29">
        <v>63</v>
      </c>
      <c r="F21" s="29">
        <v>228</v>
      </c>
      <c r="G21" s="29">
        <v>225</v>
      </c>
      <c r="H21" s="29">
        <v>21</v>
      </c>
      <c r="I21" s="29" t="s">
        <v>276</v>
      </c>
      <c r="J21" s="18">
        <v>1.7</v>
      </c>
      <c r="K21" s="30">
        <v>3.1</v>
      </c>
      <c r="L21" s="18">
        <v>4.8</v>
      </c>
      <c r="M21" s="16"/>
      <c r="N21" s="16"/>
    </row>
    <row r="22" spans="3:19">
      <c r="C22" s="18">
        <f t="shared" si="0"/>
        <v>6</v>
      </c>
      <c r="D22" s="18" t="s">
        <v>71</v>
      </c>
      <c r="E22" s="29">
        <v>63</v>
      </c>
      <c r="F22" s="29">
        <v>228</v>
      </c>
      <c r="G22" s="29">
        <v>246</v>
      </c>
      <c r="H22" s="29">
        <v>40.799999999999997</v>
      </c>
      <c r="I22" s="29" t="s">
        <v>276</v>
      </c>
      <c r="J22" s="18">
        <v>1.7</v>
      </c>
      <c r="K22" s="30">
        <v>3.1</v>
      </c>
      <c r="L22" s="18">
        <v>4.8</v>
      </c>
      <c r="M22" s="16"/>
      <c r="N22" s="16"/>
    </row>
    <row r="23" spans="3:19">
      <c r="C23" s="18">
        <f t="shared" si="0"/>
        <v>7</v>
      </c>
      <c r="D23" s="18" t="s">
        <v>71</v>
      </c>
      <c r="E23" s="29">
        <v>63</v>
      </c>
      <c r="F23" s="29">
        <v>246</v>
      </c>
      <c r="G23" s="29">
        <v>177</v>
      </c>
      <c r="H23" s="29">
        <v>50</v>
      </c>
      <c r="I23" s="29" t="s">
        <v>276</v>
      </c>
      <c r="J23" s="18">
        <v>1.7</v>
      </c>
      <c r="K23" s="30">
        <v>3.1</v>
      </c>
      <c r="L23" s="18">
        <v>4.8</v>
      </c>
      <c r="M23" s="16"/>
      <c r="N23" s="16"/>
    </row>
    <row r="24" spans="3:19">
      <c r="C24" s="18">
        <f t="shared" si="0"/>
        <v>8</v>
      </c>
      <c r="D24" s="18" t="s">
        <v>71</v>
      </c>
      <c r="E24" s="29">
        <v>63</v>
      </c>
      <c r="F24" s="29">
        <v>246</v>
      </c>
      <c r="G24" s="29">
        <v>242</v>
      </c>
      <c r="H24" s="29">
        <v>43</v>
      </c>
      <c r="I24" s="29" t="s">
        <v>276</v>
      </c>
      <c r="J24" s="18">
        <v>1.7</v>
      </c>
      <c r="K24" s="30">
        <v>3.1</v>
      </c>
      <c r="L24" s="18">
        <v>4.8</v>
      </c>
      <c r="M24" s="16"/>
      <c r="N24" s="16"/>
    </row>
    <row r="25" spans="3:19">
      <c r="C25" s="18">
        <f t="shared" si="0"/>
        <v>9</v>
      </c>
      <c r="D25" s="18" t="s">
        <v>71</v>
      </c>
      <c r="E25" s="29">
        <v>63</v>
      </c>
      <c r="F25" s="29">
        <v>242</v>
      </c>
      <c r="G25" s="29">
        <v>226</v>
      </c>
      <c r="H25" s="29">
        <v>96.1</v>
      </c>
      <c r="I25" s="29" t="s">
        <v>276</v>
      </c>
      <c r="J25" s="18">
        <v>1.7</v>
      </c>
      <c r="K25" s="30">
        <v>3.1</v>
      </c>
      <c r="L25" s="18">
        <v>4.8</v>
      </c>
      <c r="M25" s="16"/>
      <c r="N25" s="16"/>
      <c r="S25">
        <f>177</f>
        <v>177</v>
      </c>
    </row>
    <row r="26" spans="3:19">
      <c r="C26" s="18">
        <f t="shared" si="0"/>
        <v>10</v>
      </c>
      <c r="D26" s="18" t="s">
        <v>71</v>
      </c>
      <c r="E26" s="29">
        <v>63</v>
      </c>
      <c r="F26" s="29">
        <v>242</v>
      </c>
      <c r="G26" s="29">
        <v>179</v>
      </c>
      <c r="H26" s="29">
        <v>81</v>
      </c>
      <c r="I26" s="29" t="s">
        <v>276</v>
      </c>
      <c r="J26" s="18">
        <v>1.7</v>
      </c>
      <c r="K26" s="30">
        <v>3.1</v>
      </c>
      <c r="L26" s="18">
        <v>4.8</v>
      </c>
      <c r="M26" s="16"/>
      <c r="N26" s="16"/>
    </row>
    <row r="27" spans="3:19">
      <c r="C27" s="18">
        <f t="shared" si="0"/>
        <v>11</v>
      </c>
      <c r="D27" s="18" t="s">
        <v>71</v>
      </c>
      <c r="E27" s="29">
        <v>63</v>
      </c>
      <c r="F27" s="29">
        <v>235</v>
      </c>
      <c r="G27" s="29">
        <v>173</v>
      </c>
      <c r="H27" s="29">
        <v>112</v>
      </c>
      <c r="I27" s="29" t="s">
        <v>276</v>
      </c>
      <c r="J27" s="18">
        <v>1.7</v>
      </c>
      <c r="K27" s="30">
        <v>3.1</v>
      </c>
      <c r="L27" s="18">
        <v>4.8</v>
      </c>
      <c r="M27" s="16"/>
      <c r="N27" s="16"/>
    </row>
    <row r="28" spans="3:19">
      <c r="C28" s="18">
        <f t="shared" si="0"/>
        <v>12</v>
      </c>
      <c r="D28" s="18" t="s">
        <v>71</v>
      </c>
      <c r="E28" s="29">
        <v>63</v>
      </c>
      <c r="F28" s="29" t="s">
        <v>1118</v>
      </c>
      <c r="G28" s="29" t="s">
        <v>1119</v>
      </c>
      <c r="H28" s="29">
        <v>65</v>
      </c>
      <c r="I28" s="29" t="s">
        <v>276</v>
      </c>
      <c r="J28" s="18">
        <v>1.7</v>
      </c>
      <c r="K28" s="30">
        <v>3.1</v>
      </c>
      <c r="L28" s="18">
        <v>4.8</v>
      </c>
      <c r="M28" s="16"/>
      <c r="N28" s="16"/>
    </row>
    <row r="29" spans="3:19">
      <c r="C29" s="18">
        <f t="shared" si="0"/>
        <v>13</v>
      </c>
      <c r="D29" s="18" t="s">
        <v>71</v>
      </c>
      <c r="E29" s="29">
        <v>63</v>
      </c>
      <c r="F29" s="29">
        <v>224</v>
      </c>
      <c r="G29" s="29">
        <v>215</v>
      </c>
      <c r="H29" s="29">
        <v>20</v>
      </c>
      <c r="I29" s="29" t="s">
        <v>276</v>
      </c>
      <c r="J29" s="18">
        <v>1.7</v>
      </c>
      <c r="K29" s="30">
        <v>3.1</v>
      </c>
      <c r="L29" s="18">
        <v>4.8</v>
      </c>
      <c r="M29" s="16"/>
      <c r="N29" s="16"/>
    </row>
    <row r="30" spans="3:19">
      <c r="C30" s="18">
        <f t="shared" si="0"/>
        <v>14</v>
      </c>
      <c r="D30" s="18" t="s">
        <v>71</v>
      </c>
      <c r="E30" s="29">
        <v>63</v>
      </c>
      <c r="F30" s="29">
        <v>178</v>
      </c>
      <c r="G30" s="29">
        <v>152</v>
      </c>
      <c r="H30" s="29">
        <v>28</v>
      </c>
      <c r="I30" s="29" t="s">
        <v>276</v>
      </c>
      <c r="J30" s="18">
        <v>1.7</v>
      </c>
      <c r="K30" s="30">
        <v>3.1</v>
      </c>
      <c r="L30" s="18">
        <v>4.8</v>
      </c>
      <c r="M30" s="16"/>
      <c r="N30" s="16"/>
    </row>
    <row r="31" spans="3:19">
      <c r="C31" s="18">
        <f t="shared" si="0"/>
        <v>15</v>
      </c>
      <c r="D31" s="18" t="s">
        <v>71</v>
      </c>
      <c r="E31" s="29">
        <v>63</v>
      </c>
      <c r="F31" s="29">
        <v>152</v>
      </c>
      <c r="G31" s="29">
        <v>167</v>
      </c>
      <c r="H31" s="29">
        <v>25</v>
      </c>
      <c r="I31" s="29" t="s">
        <v>276</v>
      </c>
      <c r="J31" s="18">
        <v>1.7</v>
      </c>
      <c r="K31" s="30">
        <v>3.1</v>
      </c>
      <c r="L31" s="18">
        <v>4.8</v>
      </c>
      <c r="M31" s="16"/>
      <c r="N31" s="16"/>
    </row>
    <row r="32" spans="3:19">
      <c r="C32" s="18">
        <f t="shared" si="0"/>
        <v>16</v>
      </c>
      <c r="D32" s="18" t="s">
        <v>71</v>
      </c>
      <c r="E32" s="29">
        <v>63</v>
      </c>
      <c r="F32" s="29">
        <v>170</v>
      </c>
      <c r="G32" s="29">
        <v>127</v>
      </c>
      <c r="H32" s="29">
        <v>31</v>
      </c>
      <c r="I32" s="29" t="s">
        <v>276</v>
      </c>
      <c r="J32" s="18">
        <v>1.7</v>
      </c>
      <c r="K32" s="30">
        <v>3.1</v>
      </c>
      <c r="L32" s="18">
        <v>4.8</v>
      </c>
      <c r="M32" s="16"/>
      <c r="N32" s="16"/>
    </row>
    <row r="33" spans="3:14">
      <c r="C33" s="18">
        <f t="shared" si="0"/>
        <v>17</v>
      </c>
      <c r="D33" s="18" t="s">
        <v>71</v>
      </c>
      <c r="E33" s="29">
        <v>63</v>
      </c>
      <c r="F33" s="29">
        <v>125</v>
      </c>
      <c r="G33" s="29">
        <v>124</v>
      </c>
      <c r="H33" s="29">
        <v>63</v>
      </c>
      <c r="I33" s="29" t="s">
        <v>276</v>
      </c>
      <c r="J33" s="18">
        <v>1.7</v>
      </c>
      <c r="K33" s="30">
        <v>3.1</v>
      </c>
      <c r="L33" s="18">
        <v>4.8</v>
      </c>
      <c r="M33" s="16"/>
      <c r="N33" s="16"/>
    </row>
    <row r="34" spans="3:14">
      <c r="C34" s="18">
        <f t="shared" si="0"/>
        <v>18</v>
      </c>
      <c r="D34" s="18" t="s">
        <v>71</v>
      </c>
      <c r="E34" s="29">
        <v>63</v>
      </c>
      <c r="F34" s="29">
        <v>147</v>
      </c>
      <c r="G34" s="29">
        <v>117</v>
      </c>
      <c r="H34" s="29">
        <v>135</v>
      </c>
      <c r="I34" s="29" t="s">
        <v>276</v>
      </c>
      <c r="J34" s="18">
        <v>1.7</v>
      </c>
      <c r="K34" s="30">
        <v>3.1</v>
      </c>
      <c r="L34" s="18">
        <v>4.8</v>
      </c>
      <c r="M34" s="16"/>
      <c r="N34" s="16"/>
    </row>
    <row r="35" spans="3:14">
      <c r="C35" s="18">
        <f t="shared" si="0"/>
        <v>19</v>
      </c>
      <c r="D35" s="18" t="s">
        <v>71</v>
      </c>
      <c r="E35" s="29">
        <v>63</v>
      </c>
      <c r="F35" s="29">
        <v>161</v>
      </c>
      <c r="G35" s="29">
        <v>136</v>
      </c>
      <c r="H35" s="29">
        <v>164</v>
      </c>
      <c r="I35" s="29" t="s">
        <v>276</v>
      </c>
      <c r="J35" s="18">
        <v>1.7</v>
      </c>
      <c r="K35" s="30">
        <v>3.1</v>
      </c>
      <c r="L35" s="18">
        <v>4.8</v>
      </c>
      <c r="M35" s="16"/>
      <c r="N35" s="16"/>
    </row>
    <row r="36" spans="3:14">
      <c r="C36" s="18">
        <f t="shared" si="0"/>
        <v>20</v>
      </c>
      <c r="D36" s="18" t="s">
        <v>71</v>
      </c>
      <c r="E36" s="29">
        <v>63</v>
      </c>
      <c r="F36" s="29">
        <v>136</v>
      </c>
      <c r="G36" s="29">
        <v>132</v>
      </c>
      <c r="H36" s="29">
        <v>60</v>
      </c>
      <c r="I36" s="29" t="s">
        <v>276</v>
      </c>
      <c r="J36" s="18">
        <v>1.7</v>
      </c>
      <c r="K36" s="30">
        <v>3.1</v>
      </c>
      <c r="L36" s="18">
        <v>4.8</v>
      </c>
      <c r="M36" s="16"/>
      <c r="N36" s="16"/>
    </row>
    <row r="37" spans="3:14">
      <c r="C37" s="18">
        <f t="shared" si="0"/>
        <v>21</v>
      </c>
      <c r="D37" s="18" t="s">
        <v>71</v>
      </c>
      <c r="E37" s="29">
        <v>63</v>
      </c>
      <c r="F37" s="29">
        <v>136</v>
      </c>
      <c r="G37" s="29">
        <v>139</v>
      </c>
      <c r="H37" s="29">
        <v>51</v>
      </c>
      <c r="I37" s="29" t="s">
        <v>276</v>
      </c>
      <c r="J37" s="18">
        <v>1.7</v>
      </c>
      <c r="K37" s="30">
        <v>3.1</v>
      </c>
      <c r="L37" s="18">
        <v>4.8</v>
      </c>
      <c r="M37" s="16"/>
      <c r="N37" s="16"/>
    </row>
    <row r="38" spans="3:14">
      <c r="C38" s="18">
        <f t="shared" si="0"/>
        <v>22</v>
      </c>
      <c r="D38" s="18" t="s">
        <v>71</v>
      </c>
      <c r="E38" s="29">
        <v>63</v>
      </c>
      <c r="F38" s="29">
        <v>139</v>
      </c>
      <c r="G38" s="29">
        <v>121</v>
      </c>
      <c r="H38" s="29">
        <v>74.7</v>
      </c>
      <c r="I38" s="29" t="s">
        <v>276</v>
      </c>
      <c r="J38" s="18">
        <v>1.7</v>
      </c>
      <c r="K38" s="30">
        <v>3.1</v>
      </c>
      <c r="L38" s="18">
        <v>4.8</v>
      </c>
      <c r="M38" s="16"/>
      <c r="N38" s="16"/>
    </row>
    <row r="39" spans="3:14">
      <c r="C39" s="18">
        <f t="shared" si="0"/>
        <v>23</v>
      </c>
      <c r="D39" s="18" t="s">
        <v>71</v>
      </c>
      <c r="E39" s="29">
        <v>63</v>
      </c>
      <c r="F39" s="29">
        <v>139</v>
      </c>
      <c r="G39" s="29">
        <v>153</v>
      </c>
      <c r="H39" s="29">
        <v>62.1</v>
      </c>
      <c r="I39" s="29" t="s">
        <v>276</v>
      </c>
      <c r="J39" s="18">
        <v>1.7</v>
      </c>
      <c r="K39" s="30">
        <v>3.1</v>
      </c>
      <c r="L39" s="18">
        <v>4.8</v>
      </c>
      <c r="M39" s="16"/>
      <c r="N39" s="16"/>
    </row>
    <row r="40" spans="3:14">
      <c r="C40" s="18">
        <f t="shared" si="0"/>
        <v>24</v>
      </c>
      <c r="D40" s="18" t="s">
        <v>71</v>
      </c>
      <c r="E40" s="29">
        <v>63</v>
      </c>
      <c r="F40" s="29">
        <v>153</v>
      </c>
      <c r="G40" s="29">
        <v>150</v>
      </c>
      <c r="H40" s="29">
        <v>4.5</v>
      </c>
      <c r="I40" s="29" t="s">
        <v>276</v>
      </c>
      <c r="J40" s="18">
        <v>1.7</v>
      </c>
      <c r="K40" s="30">
        <v>3.1</v>
      </c>
      <c r="L40" s="18">
        <v>4.8</v>
      </c>
      <c r="M40" s="16"/>
      <c r="N40" s="16"/>
    </row>
    <row r="41" spans="3:14">
      <c r="C41" s="18">
        <f t="shared" si="0"/>
        <v>25</v>
      </c>
      <c r="D41" s="18" t="s">
        <v>71</v>
      </c>
      <c r="E41" s="29">
        <v>63</v>
      </c>
      <c r="F41" s="29">
        <v>153</v>
      </c>
      <c r="G41" s="29">
        <v>150</v>
      </c>
      <c r="H41" s="29">
        <f>215-4.5</f>
        <v>210.5</v>
      </c>
      <c r="I41" s="29" t="s">
        <v>276</v>
      </c>
      <c r="J41" s="18">
        <v>1.7</v>
      </c>
      <c r="K41" s="30">
        <v>3.1</v>
      </c>
      <c r="L41" s="18">
        <v>4.8</v>
      </c>
      <c r="M41" s="16"/>
      <c r="N41" s="16"/>
    </row>
    <row r="42" spans="3:14">
      <c r="C42" s="18">
        <f t="shared" si="0"/>
        <v>26</v>
      </c>
      <c r="D42" s="18" t="s">
        <v>71</v>
      </c>
      <c r="E42" s="29">
        <v>63</v>
      </c>
      <c r="F42" s="29">
        <v>150</v>
      </c>
      <c r="G42" s="29">
        <v>192</v>
      </c>
      <c r="H42" s="29">
        <v>20.2</v>
      </c>
      <c r="I42" s="29" t="s">
        <v>276</v>
      </c>
      <c r="J42" s="18">
        <v>1.7</v>
      </c>
      <c r="K42" s="30">
        <v>3.1</v>
      </c>
      <c r="L42" s="18">
        <v>4.8</v>
      </c>
      <c r="M42" s="16"/>
      <c r="N42" s="16"/>
    </row>
    <row r="43" spans="3:14">
      <c r="C43" s="18">
        <f t="shared" si="0"/>
        <v>27</v>
      </c>
      <c r="D43" s="18" t="s">
        <v>71</v>
      </c>
      <c r="E43" s="29">
        <v>63</v>
      </c>
      <c r="F43" s="29">
        <v>150</v>
      </c>
      <c r="G43" s="29">
        <v>212</v>
      </c>
      <c r="H43" s="29">
        <v>31.4</v>
      </c>
      <c r="I43" s="29" t="s">
        <v>276</v>
      </c>
      <c r="J43" s="18">
        <v>1.7</v>
      </c>
      <c r="K43" s="30">
        <v>3.1</v>
      </c>
      <c r="L43" s="18">
        <v>4.8</v>
      </c>
      <c r="M43" s="16"/>
      <c r="N43" s="16"/>
    </row>
    <row r="44" spans="3:14">
      <c r="C44" s="18">
        <f t="shared" si="0"/>
        <v>28</v>
      </c>
      <c r="D44" s="18" t="s">
        <v>71</v>
      </c>
      <c r="E44" s="29">
        <v>63</v>
      </c>
      <c r="F44" s="29">
        <v>212</v>
      </c>
      <c r="G44" s="29">
        <v>134</v>
      </c>
      <c r="H44" s="29">
        <v>180</v>
      </c>
      <c r="I44" s="29" t="s">
        <v>276</v>
      </c>
      <c r="J44" s="18">
        <v>1.7</v>
      </c>
      <c r="K44" s="30">
        <v>3.1</v>
      </c>
      <c r="L44" s="18">
        <v>4.8</v>
      </c>
      <c r="M44" s="16"/>
      <c r="N44" s="16"/>
    </row>
    <row r="45" spans="3:14">
      <c r="C45" s="18">
        <f t="shared" si="0"/>
        <v>29</v>
      </c>
      <c r="D45" s="18" t="s">
        <v>71</v>
      </c>
      <c r="E45" s="29">
        <v>63</v>
      </c>
      <c r="F45" s="29">
        <v>212</v>
      </c>
      <c r="G45" s="29">
        <v>157</v>
      </c>
      <c r="H45" s="29">
        <v>52</v>
      </c>
      <c r="I45" s="29" t="s">
        <v>276</v>
      </c>
      <c r="J45" s="18">
        <v>1.7</v>
      </c>
      <c r="K45" s="30">
        <v>3.1</v>
      </c>
      <c r="L45" s="18">
        <v>4.8</v>
      </c>
      <c r="M45" s="16"/>
      <c r="N45" s="16"/>
    </row>
    <row r="46" spans="3:14">
      <c r="C46" s="18">
        <f t="shared" si="0"/>
        <v>30</v>
      </c>
      <c r="D46" s="18" t="s">
        <v>71</v>
      </c>
      <c r="E46" s="29">
        <v>63</v>
      </c>
      <c r="F46" s="29">
        <v>157</v>
      </c>
      <c r="G46" s="29">
        <v>130</v>
      </c>
      <c r="H46" s="29">
        <v>190</v>
      </c>
      <c r="I46" s="29" t="s">
        <v>276</v>
      </c>
      <c r="J46" s="18">
        <v>1.7</v>
      </c>
      <c r="K46" s="30">
        <v>3.1</v>
      </c>
      <c r="L46" s="18">
        <v>4.8</v>
      </c>
      <c r="M46" s="16"/>
      <c r="N46" s="16"/>
    </row>
    <row r="47" spans="3:14">
      <c r="C47" s="18">
        <f t="shared" si="0"/>
        <v>31</v>
      </c>
      <c r="D47" s="18" t="s">
        <v>71</v>
      </c>
      <c r="E47" s="29">
        <v>63</v>
      </c>
      <c r="F47" s="29">
        <v>130</v>
      </c>
      <c r="G47" s="29">
        <v>116</v>
      </c>
      <c r="H47" s="29">
        <v>475</v>
      </c>
      <c r="I47" s="29" t="s">
        <v>276</v>
      </c>
      <c r="J47" s="18">
        <v>1.7</v>
      </c>
      <c r="K47" s="30">
        <v>3.1</v>
      </c>
      <c r="L47" s="18">
        <v>4.8</v>
      </c>
      <c r="M47" s="16"/>
      <c r="N47" s="16"/>
    </row>
    <row r="48" spans="3:14">
      <c r="C48" s="18">
        <f t="shared" si="0"/>
        <v>32</v>
      </c>
      <c r="D48" s="18" t="s">
        <v>71</v>
      </c>
      <c r="E48" s="29">
        <v>63</v>
      </c>
      <c r="F48" s="29">
        <v>116</v>
      </c>
      <c r="G48" s="29">
        <v>123</v>
      </c>
      <c r="H48" s="29">
        <v>114.5</v>
      </c>
      <c r="I48" s="29" t="s">
        <v>276</v>
      </c>
      <c r="J48" s="18">
        <v>1.7</v>
      </c>
      <c r="K48" s="30">
        <v>3.1</v>
      </c>
      <c r="L48" s="18">
        <v>4.8</v>
      </c>
      <c r="M48" s="16"/>
      <c r="N48" s="16"/>
    </row>
    <row r="49" spans="2:14">
      <c r="C49" s="18">
        <f t="shared" si="0"/>
        <v>33</v>
      </c>
      <c r="D49" s="18" t="s">
        <v>71</v>
      </c>
      <c r="E49" s="29">
        <v>63</v>
      </c>
      <c r="F49" s="29">
        <v>157</v>
      </c>
      <c r="G49" s="29">
        <v>138</v>
      </c>
      <c r="H49" s="29">
        <v>5</v>
      </c>
      <c r="I49" s="29" t="s">
        <v>276</v>
      </c>
      <c r="J49" s="18">
        <v>1.7</v>
      </c>
      <c r="K49" s="30">
        <v>3.1</v>
      </c>
      <c r="L49" s="18">
        <v>4.8</v>
      </c>
      <c r="M49" s="16"/>
      <c r="N49" s="16"/>
    </row>
    <row r="50" spans="2:14">
      <c r="C50" s="18">
        <f t="shared" si="0"/>
        <v>34</v>
      </c>
      <c r="D50" s="18" t="s">
        <v>71</v>
      </c>
      <c r="E50" s="29">
        <v>63</v>
      </c>
      <c r="F50" s="29">
        <v>157</v>
      </c>
      <c r="G50" s="29">
        <v>138</v>
      </c>
      <c r="H50" s="29">
        <f>116.5-5</f>
        <v>111.5</v>
      </c>
      <c r="I50" s="29" t="s">
        <v>276</v>
      </c>
      <c r="J50" s="18">
        <v>1.7</v>
      </c>
      <c r="K50" s="30">
        <v>3.1</v>
      </c>
      <c r="L50" s="18">
        <v>4.8</v>
      </c>
      <c r="M50" s="16"/>
      <c r="N50" s="16"/>
    </row>
    <row r="51" spans="2:14">
      <c r="C51" s="18">
        <f t="shared" si="0"/>
        <v>35</v>
      </c>
      <c r="D51" s="18" t="s">
        <v>71</v>
      </c>
      <c r="E51" s="29">
        <v>63</v>
      </c>
      <c r="F51" s="29">
        <v>138</v>
      </c>
      <c r="G51" s="29">
        <v>134</v>
      </c>
      <c r="H51" s="29">
        <v>36</v>
      </c>
      <c r="I51" s="29" t="s">
        <v>276</v>
      </c>
      <c r="J51" s="18">
        <v>1.7</v>
      </c>
      <c r="K51" s="30">
        <v>3.1</v>
      </c>
      <c r="L51" s="18">
        <v>4.8</v>
      </c>
      <c r="M51" s="16"/>
      <c r="N51" s="16"/>
    </row>
    <row r="52" spans="2:14">
      <c r="C52" s="18">
        <f t="shared" si="0"/>
        <v>36</v>
      </c>
      <c r="D52" s="18" t="s">
        <v>71</v>
      </c>
      <c r="E52" s="29">
        <v>63</v>
      </c>
      <c r="F52" s="29">
        <v>134</v>
      </c>
      <c r="G52" s="29">
        <v>166</v>
      </c>
      <c r="H52" s="29">
        <v>30</v>
      </c>
      <c r="I52" s="29" t="s">
        <v>276</v>
      </c>
      <c r="J52" s="18">
        <v>1.7</v>
      </c>
      <c r="K52" s="30">
        <v>3.1</v>
      </c>
      <c r="L52" s="18">
        <v>4.8</v>
      </c>
      <c r="M52" s="16"/>
      <c r="N52" s="16"/>
    </row>
    <row r="53" spans="2:14">
      <c r="C53" s="18">
        <f t="shared" si="0"/>
        <v>37</v>
      </c>
      <c r="D53" s="18" t="s">
        <v>71</v>
      </c>
      <c r="E53" s="29">
        <v>63</v>
      </c>
      <c r="F53" s="29">
        <v>138</v>
      </c>
      <c r="G53" s="29">
        <v>187</v>
      </c>
      <c r="H53" s="29">
        <v>69.2</v>
      </c>
      <c r="I53" s="29" t="s">
        <v>276</v>
      </c>
      <c r="J53" s="18">
        <v>1.7</v>
      </c>
      <c r="K53" s="30">
        <v>3.1</v>
      </c>
      <c r="L53" s="18">
        <v>4.8</v>
      </c>
      <c r="M53" s="16"/>
      <c r="N53" s="16"/>
    </row>
    <row r="54" spans="2:14">
      <c r="C54" s="18">
        <f t="shared" si="0"/>
        <v>38</v>
      </c>
      <c r="D54" s="18" t="s">
        <v>71</v>
      </c>
      <c r="E54" s="29">
        <v>63</v>
      </c>
      <c r="F54" s="29">
        <v>187</v>
      </c>
      <c r="G54" s="29">
        <v>182</v>
      </c>
      <c r="H54" s="29">
        <v>7.2</v>
      </c>
      <c r="I54" s="29" t="s">
        <v>276</v>
      </c>
      <c r="J54" s="18">
        <v>1.7</v>
      </c>
      <c r="K54" s="30">
        <v>3.1</v>
      </c>
      <c r="L54" s="18">
        <v>4.8</v>
      </c>
      <c r="M54" s="16"/>
      <c r="N54" s="16"/>
    </row>
    <row r="55" spans="2:14">
      <c r="C55" s="18">
        <f t="shared" si="0"/>
        <v>39</v>
      </c>
      <c r="D55" s="18" t="s">
        <v>71</v>
      </c>
      <c r="E55" s="29">
        <v>63</v>
      </c>
      <c r="F55" s="29">
        <v>182</v>
      </c>
      <c r="G55" s="29">
        <v>168</v>
      </c>
      <c r="H55" s="29">
        <v>48.7</v>
      </c>
      <c r="I55" s="29" t="s">
        <v>276</v>
      </c>
      <c r="J55" s="18">
        <v>1.7</v>
      </c>
      <c r="K55" s="30">
        <v>3.1</v>
      </c>
      <c r="L55" s="18">
        <v>4.8</v>
      </c>
      <c r="M55" s="16"/>
      <c r="N55" s="16"/>
    </row>
    <row r="56" spans="2:14">
      <c r="C56" s="18">
        <f t="shared" si="0"/>
        <v>40</v>
      </c>
      <c r="D56" s="18" t="s">
        <v>71</v>
      </c>
      <c r="E56" s="29">
        <v>63</v>
      </c>
      <c r="F56" s="29">
        <v>166</v>
      </c>
      <c r="G56" s="29">
        <v>168</v>
      </c>
      <c r="H56" s="29">
        <v>46.3</v>
      </c>
      <c r="I56" s="29" t="s">
        <v>276</v>
      </c>
      <c r="J56" s="18">
        <v>1.7</v>
      </c>
      <c r="K56" s="30">
        <v>3.1</v>
      </c>
      <c r="L56" s="18">
        <v>4.8</v>
      </c>
      <c r="M56" s="16"/>
      <c r="N56" s="16"/>
    </row>
    <row r="57" spans="2:14">
      <c r="C57" s="374"/>
      <c r="D57" s="374"/>
      <c r="E57" s="374"/>
      <c r="F57" s="374"/>
      <c r="G57" s="374"/>
      <c r="H57" s="374"/>
      <c r="I57" s="374"/>
      <c r="J57" s="374"/>
      <c r="K57" s="374"/>
      <c r="L57" s="374"/>
      <c r="M57" s="374"/>
      <c r="N57" s="374"/>
    </row>
    <row r="58" spans="2:14">
      <c r="C58" s="324"/>
      <c r="D58" s="324"/>
      <c r="E58" s="325" t="s">
        <v>86</v>
      </c>
      <c r="F58" s="325"/>
      <c r="G58" s="325"/>
      <c r="H58" s="325"/>
      <c r="I58" s="325" t="s">
        <v>87</v>
      </c>
      <c r="J58" s="325"/>
      <c r="K58" s="325"/>
      <c r="L58" s="325" t="s">
        <v>39</v>
      </c>
      <c r="M58" s="325"/>
      <c r="N58" s="325"/>
    </row>
    <row r="59" spans="2:14">
      <c r="C59" s="295" t="s">
        <v>40</v>
      </c>
      <c r="D59" s="295"/>
      <c r="E59" s="317"/>
      <c r="F59" s="317"/>
      <c r="G59" s="317"/>
      <c r="H59" s="317"/>
      <c r="I59" s="317"/>
      <c r="J59" s="317"/>
      <c r="K59" s="317"/>
      <c r="L59" s="317"/>
      <c r="M59" s="317"/>
      <c r="N59" s="317"/>
    </row>
    <row r="60" spans="2:14">
      <c r="C60" s="295" t="s">
        <v>41</v>
      </c>
      <c r="D60" s="295"/>
      <c r="E60" s="317"/>
      <c r="F60" s="317"/>
      <c r="G60" s="317"/>
      <c r="H60" s="317"/>
      <c r="I60" s="317"/>
      <c r="J60" s="317"/>
      <c r="K60" s="317"/>
      <c r="L60" s="317"/>
      <c r="M60" s="317"/>
      <c r="N60" s="317"/>
    </row>
    <row r="61" spans="2:14">
      <c r="C61" s="295" t="s">
        <v>42</v>
      </c>
      <c r="D61" s="295"/>
      <c r="E61" s="317"/>
      <c r="F61" s="317"/>
      <c r="G61" s="317"/>
      <c r="H61" s="317"/>
      <c r="I61" s="317"/>
      <c r="J61" s="317"/>
      <c r="K61" s="317"/>
      <c r="L61" s="317"/>
      <c r="M61" s="317"/>
      <c r="N61" s="317"/>
    </row>
    <row r="62" spans="2:14">
      <c r="C62" s="295" t="s">
        <v>43</v>
      </c>
      <c r="D62" s="295"/>
      <c r="E62" s="315"/>
      <c r="F62" s="316"/>
      <c r="G62" s="316"/>
      <c r="H62" s="316"/>
      <c r="I62" s="317"/>
      <c r="J62" s="317"/>
      <c r="K62" s="317"/>
      <c r="L62" s="317"/>
      <c r="M62" s="317"/>
      <c r="N62" s="317"/>
    </row>
    <row r="63" spans="2:14">
      <c r="B63" s="36"/>
      <c r="C63" s="37"/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</row>
    <row r="64" spans="2:14">
      <c r="C64" s="206"/>
      <c r="D64" s="211" t="s">
        <v>44</v>
      </c>
      <c r="E64" s="212"/>
      <c r="F64" s="212"/>
      <c r="G64" s="212"/>
      <c r="H64" s="212"/>
      <c r="I64" s="212"/>
      <c r="J64" s="212"/>
      <c r="K64" s="212"/>
      <c r="L64" s="20"/>
      <c r="M64" s="20"/>
      <c r="N64" s="21"/>
    </row>
    <row r="65" spans="3:14">
      <c r="C65" s="207"/>
      <c r="D65" s="214"/>
      <c r="E65" s="215"/>
      <c r="F65" s="215"/>
      <c r="G65" s="215"/>
      <c r="H65" s="215"/>
      <c r="I65" s="215"/>
      <c r="J65" s="215"/>
      <c r="K65" s="215"/>
      <c r="N65" s="22"/>
    </row>
    <row r="66" spans="3:14">
      <c r="C66" s="207"/>
      <c r="D66" s="214"/>
      <c r="E66" s="215"/>
      <c r="F66" s="215"/>
      <c r="G66" s="215"/>
      <c r="H66" s="215"/>
      <c r="I66" s="215"/>
      <c r="J66" s="215"/>
      <c r="K66" s="215"/>
      <c r="N66" s="22"/>
    </row>
    <row r="67" spans="3:14">
      <c r="C67" s="207"/>
      <c r="D67" s="289"/>
      <c r="E67" s="290"/>
      <c r="F67" s="290"/>
      <c r="G67" s="290"/>
      <c r="H67" s="290"/>
      <c r="I67" s="290"/>
      <c r="J67" s="290"/>
      <c r="K67" s="290"/>
      <c r="N67" s="22"/>
    </row>
    <row r="68" spans="3:14" ht="16.5">
      <c r="C68" s="223" t="s">
        <v>45</v>
      </c>
      <c r="D68" s="224"/>
      <c r="E68" s="7" t="s">
        <v>46</v>
      </c>
      <c r="F68" s="8"/>
      <c r="G68" s="8"/>
      <c r="H68" s="8"/>
      <c r="I68" s="8"/>
      <c r="J68" s="8"/>
      <c r="K68" s="8"/>
      <c r="L68" s="8"/>
      <c r="M68" s="8"/>
      <c r="N68" s="23"/>
    </row>
    <row r="69" spans="3:14" ht="16.5">
      <c r="C69" s="223" t="s">
        <v>48</v>
      </c>
      <c r="D69" s="224"/>
      <c r="E69" s="7" t="s">
        <v>49</v>
      </c>
      <c r="F69" s="8"/>
      <c r="G69" s="8"/>
      <c r="H69" s="8"/>
      <c r="I69" s="8"/>
      <c r="J69" s="8"/>
      <c r="K69" s="8"/>
      <c r="L69" s="8"/>
      <c r="M69" s="8"/>
      <c r="N69" s="23"/>
    </row>
    <row r="70" spans="3:14" ht="16.5">
      <c r="C70" s="225" t="s">
        <v>50</v>
      </c>
      <c r="D70" s="226"/>
      <c r="E70" s="7" t="s">
        <v>51</v>
      </c>
      <c r="F70" s="8"/>
      <c r="G70" s="8"/>
      <c r="H70" s="8"/>
      <c r="I70" s="8"/>
      <c r="J70" s="8"/>
      <c r="K70" s="8"/>
      <c r="L70" s="8"/>
      <c r="M70" s="8"/>
      <c r="N70" s="23"/>
    </row>
    <row r="71" spans="3:14" ht="16.5">
      <c r="C71" s="223" t="s">
        <v>52</v>
      </c>
      <c r="D71" s="224"/>
      <c r="E71" s="7" t="s">
        <v>53</v>
      </c>
      <c r="F71" s="8"/>
      <c r="G71" s="8"/>
      <c r="H71" s="8"/>
      <c r="I71" s="8"/>
      <c r="J71" s="8"/>
      <c r="K71" s="8"/>
      <c r="L71" s="8"/>
      <c r="M71" s="8"/>
      <c r="N71" s="23"/>
    </row>
    <row r="72" spans="3:14" ht="15.75">
      <c r="C72" s="227" t="s">
        <v>1117</v>
      </c>
      <c r="D72" s="228"/>
      <c r="E72" s="228"/>
      <c r="F72" s="228"/>
      <c r="G72" s="228"/>
      <c r="H72" s="228"/>
      <c r="I72" s="228"/>
      <c r="J72" s="228"/>
      <c r="K72" s="228"/>
      <c r="L72" s="228"/>
      <c r="M72" s="228"/>
      <c r="N72" s="229"/>
    </row>
    <row r="73" spans="3:14" ht="15.75">
      <c r="C73" s="11" t="s">
        <v>55</v>
      </c>
      <c r="E73" s="12"/>
      <c r="F73" s="12"/>
      <c r="G73" s="12"/>
      <c r="H73" s="12"/>
      <c r="I73" s="24" t="s">
        <v>56</v>
      </c>
      <c r="J73" s="25"/>
      <c r="K73" s="12"/>
      <c r="L73" s="12"/>
      <c r="M73" s="12"/>
      <c r="N73" s="26"/>
    </row>
    <row r="74" spans="3:14">
      <c r="C74" s="217"/>
      <c r="D74" s="218"/>
      <c r="E74" s="218"/>
      <c r="F74" s="218"/>
      <c r="G74" s="218"/>
      <c r="H74" s="218"/>
      <c r="I74" s="218"/>
      <c r="J74" s="218"/>
      <c r="K74" s="218"/>
      <c r="L74" s="218"/>
      <c r="M74" s="218"/>
      <c r="N74" s="219"/>
    </row>
    <row r="75" spans="3:14" ht="15.75">
      <c r="C75" s="15" t="s">
        <v>103</v>
      </c>
      <c r="D75" s="355"/>
      <c r="E75" s="356"/>
      <c r="F75" s="356"/>
      <c r="G75" s="356"/>
      <c r="H75" s="357"/>
      <c r="I75" s="368" t="s">
        <v>542</v>
      </c>
      <c r="J75" s="369"/>
      <c r="K75" s="369"/>
      <c r="L75" s="369"/>
      <c r="M75" s="369"/>
      <c r="N75" s="370"/>
    </row>
    <row r="76" spans="3:14">
      <c r="C76" s="329" t="s">
        <v>59</v>
      </c>
      <c r="D76" s="209" t="s">
        <v>60</v>
      </c>
      <c r="E76" s="209" t="s">
        <v>659</v>
      </c>
      <c r="F76" s="209" t="s">
        <v>62</v>
      </c>
      <c r="G76" s="209" t="s">
        <v>63</v>
      </c>
      <c r="H76" s="209" t="s">
        <v>64</v>
      </c>
      <c r="I76" s="209" t="s">
        <v>65</v>
      </c>
      <c r="J76" s="342" t="s">
        <v>66</v>
      </c>
      <c r="K76" s="343"/>
      <c r="L76" s="344"/>
      <c r="M76" s="209" t="s">
        <v>30</v>
      </c>
      <c r="N76" s="328" t="s">
        <v>67</v>
      </c>
    </row>
    <row r="77" spans="3:14" ht="60">
      <c r="C77" s="359"/>
      <c r="D77" s="292"/>
      <c r="E77" s="292"/>
      <c r="F77" s="292"/>
      <c r="G77" s="292"/>
      <c r="H77" s="292"/>
      <c r="I77" s="292"/>
      <c r="J77" s="17" t="s">
        <v>68</v>
      </c>
      <c r="K77" s="28" t="s">
        <v>999</v>
      </c>
      <c r="L77" s="17" t="s">
        <v>70</v>
      </c>
      <c r="M77" s="292"/>
      <c r="N77" s="360"/>
    </row>
    <row r="78" spans="3:14">
      <c r="C78" s="18">
        <v>1</v>
      </c>
      <c r="D78" s="18" t="s">
        <v>71</v>
      </c>
      <c r="E78" s="29">
        <v>63</v>
      </c>
      <c r="F78" s="29">
        <v>182</v>
      </c>
      <c r="G78" s="29">
        <v>190</v>
      </c>
      <c r="H78" s="29">
        <v>79.400000000000006</v>
      </c>
      <c r="I78" s="29" t="s">
        <v>276</v>
      </c>
      <c r="J78" s="18">
        <v>1.7</v>
      </c>
      <c r="K78" s="30">
        <v>3.1</v>
      </c>
      <c r="L78" s="18">
        <v>4.8</v>
      </c>
      <c r="M78" s="16"/>
      <c r="N78" s="16"/>
    </row>
    <row r="79" spans="3:14">
      <c r="C79" s="18">
        <f>1+C78</f>
        <v>2</v>
      </c>
      <c r="D79" s="18" t="s">
        <v>71</v>
      </c>
      <c r="E79" s="29">
        <v>63</v>
      </c>
      <c r="F79" s="29">
        <v>170</v>
      </c>
      <c r="G79" s="29">
        <v>188</v>
      </c>
      <c r="H79" s="29">
        <v>334</v>
      </c>
      <c r="I79" s="29" t="s">
        <v>276</v>
      </c>
      <c r="J79" s="18">
        <v>1.7</v>
      </c>
      <c r="K79" s="30">
        <v>3.1</v>
      </c>
      <c r="L79" s="18">
        <v>4.8</v>
      </c>
      <c r="M79" s="16"/>
      <c r="N79" s="16"/>
    </row>
    <row r="80" spans="3:14">
      <c r="C80" s="18">
        <f t="shared" ref="C80:C106" si="1">1+C79</f>
        <v>3</v>
      </c>
      <c r="D80" s="18" t="s">
        <v>71</v>
      </c>
      <c r="E80" s="29">
        <v>63</v>
      </c>
      <c r="F80" s="29">
        <v>188</v>
      </c>
      <c r="G80" s="29">
        <v>154</v>
      </c>
      <c r="H80" s="29">
        <v>279</v>
      </c>
      <c r="I80" s="29" t="s">
        <v>276</v>
      </c>
      <c r="J80" s="18">
        <v>1.7</v>
      </c>
      <c r="K80" s="30">
        <v>3.1</v>
      </c>
      <c r="L80" s="18">
        <v>4.8</v>
      </c>
      <c r="M80" s="16"/>
      <c r="N80" s="16"/>
    </row>
    <row r="81" spans="3:14">
      <c r="C81" s="18">
        <f t="shared" si="1"/>
        <v>4</v>
      </c>
      <c r="D81" s="18" t="s">
        <v>71</v>
      </c>
      <c r="E81" s="29">
        <v>63</v>
      </c>
      <c r="F81" s="29">
        <v>154</v>
      </c>
      <c r="G81" s="29">
        <v>158</v>
      </c>
      <c r="H81" s="29">
        <v>22</v>
      </c>
      <c r="I81" s="29" t="s">
        <v>276</v>
      </c>
      <c r="J81" s="18">
        <v>1.7</v>
      </c>
      <c r="K81" s="30">
        <v>3.1</v>
      </c>
      <c r="L81" s="18">
        <v>4.8</v>
      </c>
      <c r="M81" s="16"/>
      <c r="N81" s="16"/>
    </row>
    <row r="82" spans="3:14">
      <c r="C82" s="18">
        <f t="shared" si="1"/>
        <v>5</v>
      </c>
      <c r="D82" s="18" t="s">
        <v>71</v>
      </c>
      <c r="E82" s="29">
        <v>63</v>
      </c>
      <c r="F82" s="29">
        <v>158</v>
      </c>
      <c r="G82" s="29">
        <v>181</v>
      </c>
      <c r="H82" s="29">
        <v>80</v>
      </c>
      <c r="I82" s="29" t="s">
        <v>276</v>
      </c>
      <c r="J82" s="18">
        <v>1.7</v>
      </c>
      <c r="K82" s="30">
        <v>3.1</v>
      </c>
      <c r="L82" s="18">
        <v>4.8</v>
      </c>
      <c r="M82" s="16"/>
      <c r="N82" s="16"/>
    </row>
    <row r="83" spans="3:14">
      <c r="C83" s="18">
        <f t="shared" si="1"/>
        <v>6</v>
      </c>
      <c r="D83" s="18" t="s">
        <v>71</v>
      </c>
      <c r="E83" s="29">
        <v>63</v>
      </c>
      <c r="F83" s="29">
        <v>181</v>
      </c>
      <c r="G83" s="29">
        <v>244</v>
      </c>
      <c r="H83" s="29">
        <v>125</v>
      </c>
      <c r="I83" s="29" t="s">
        <v>276</v>
      </c>
      <c r="J83" s="18">
        <v>1.7</v>
      </c>
      <c r="K83" s="30">
        <v>3.1</v>
      </c>
      <c r="L83" s="18">
        <v>4.8</v>
      </c>
      <c r="M83" s="16"/>
      <c r="N83" s="16"/>
    </row>
    <row r="84" spans="3:14">
      <c r="C84" s="18">
        <f t="shared" si="1"/>
        <v>7</v>
      </c>
      <c r="D84" s="18" t="s">
        <v>71</v>
      </c>
      <c r="E84" s="29">
        <v>63</v>
      </c>
      <c r="F84" s="29">
        <v>199</v>
      </c>
      <c r="G84" s="29">
        <v>165</v>
      </c>
      <c r="H84" s="29">
        <v>435</v>
      </c>
      <c r="I84" s="29" t="s">
        <v>276</v>
      </c>
      <c r="J84" s="18">
        <v>1.7</v>
      </c>
      <c r="K84" s="30">
        <v>3.1</v>
      </c>
      <c r="L84" s="18">
        <v>4.8</v>
      </c>
      <c r="M84" s="16"/>
      <c r="N84" s="16"/>
    </row>
    <row r="85" spans="3:14">
      <c r="C85" s="18">
        <f t="shared" si="1"/>
        <v>8</v>
      </c>
      <c r="D85" s="18" t="s">
        <v>71</v>
      </c>
      <c r="E85" s="29">
        <v>63</v>
      </c>
      <c r="F85" s="29">
        <v>186</v>
      </c>
      <c r="G85" s="29">
        <v>151</v>
      </c>
      <c r="H85" s="29">
        <f>183-32</f>
        <v>151</v>
      </c>
      <c r="I85" s="29" t="s">
        <v>276</v>
      </c>
      <c r="J85" s="18">
        <v>1.7</v>
      </c>
      <c r="K85" s="30">
        <v>3.1</v>
      </c>
      <c r="L85" s="18">
        <v>4.8</v>
      </c>
      <c r="M85" s="16"/>
      <c r="N85" s="16"/>
    </row>
    <row r="86" spans="3:14">
      <c r="C86" s="18">
        <f t="shared" si="1"/>
        <v>9</v>
      </c>
      <c r="D86" s="18" t="s">
        <v>71</v>
      </c>
      <c r="E86" s="29">
        <v>63</v>
      </c>
      <c r="F86" s="29">
        <v>186</v>
      </c>
      <c r="G86" s="29">
        <v>151</v>
      </c>
      <c r="H86" s="29">
        <v>32</v>
      </c>
      <c r="I86" s="29" t="s">
        <v>276</v>
      </c>
      <c r="J86" s="18">
        <v>1.7</v>
      </c>
      <c r="K86" s="30">
        <v>3.1</v>
      </c>
      <c r="L86" s="18">
        <v>4.8</v>
      </c>
      <c r="M86" s="16"/>
      <c r="N86" s="16"/>
    </row>
    <row r="87" spans="3:14">
      <c r="C87" s="18">
        <f t="shared" si="1"/>
        <v>10</v>
      </c>
      <c r="D87" s="18" t="s">
        <v>71</v>
      </c>
      <c r="E87" s="29">
        <v>63</v>
      </c>
      <c r="F87" s="29">
        <v>151</v>
      </c>
      <c r="G87" s="29">
        <v>180</v>
      </c>
      <c r="H87" s="29">
        <v>40.700000000000003</v>
      </c>
      <c r="I87" s="29" t="s">
        <v>276</v>
      </c>
      <c r="J87" s="18">
        <v>1.7</v>
      </c>
      <c r="K87" s="30">
        <v>3.1</v>
      </c>
      <c r="L87" s="18">
        <v>4.8</v>
      </c>
      <c r="M87" s="16"/>
      <c r="N87" s="16"/>
    </row>
    <row r="88" spans="3:14">
      <c r="C88" s="18">
        <f t="shared" si="1"/>
        <v>11</v>
      </c>
      <c r="D88" s="18" t="s">
        <v>71</v>
      </c>
      <c r="E88" s="29">
        <v>63</v>
      </c>
      <c r="F88" s="29">
        <v>151</v>
      </c>
      <c r="G88" s="29">
        <v>165</v>
      </c>
      <c r="H88" s="29">
        <v>74.8</v>
      </c>
      <c r="I88" s="29" t="s">
        <v>276</v>
      </c>
      <c r="J88" s="18">
        <v>1.7</v>
      </c>
      <c r="K88" s="30">
        <v>3.1</v>
      </c>
      <c r="L88" s="18">
        <v>4.8</v>
      </c>
      <c r="M88" s="16"/>
      <c r="N88" s="16"/>
    </row>
    <row r="89" spans="3:14">
      <c r="C89" s="18">
        <f t="shared" si="1"/>
        <v>12</v>
      </c>
      <c r="D89" s="18" t="s">
        <v>71</v>
      </c>
      <c r="E89" s="29">
        <v>63</v>
      </c>
      <c r="F89" s="29">
        <v>165</v>
      </c>
      <c r="G89" s="29">
        <v>201</v>
      </c>
      <c r="H89" s="29">
        <v>60</v>
      </c>
      <c r="I89" s="29" t="s">
        <v>276</v>
      </c>
      <c r="J89" s="18">
        <v>1.7</v>
      </c>
      <c r="K89" s="30">
        <v>3.1</v>
      </c>
      <c r="L89" s="18">
        <v>4.8</v>
      </c>
      <c r="M89" s="16"/>
      <c r="N89" s="16"/>
    </row>
    <row r="90" spans="3:14">
      <c r="C90" s="18">
        <f t="shared" si="1"/>
        <v>13</v>
      </c>
      <c r="D90" s="18" t="s">
        <v>71</v>
      </c>
      <c r="E90" s="29">
        <v>63</v>
      </c>
      <c r="F90" s="29">
        <v>201</v>
      </c>
      <c r="G90" s="29">
        <v>131</v>
      </c>
      <c r="H90" s="29">
        <v>87.5</v>
      </c>
      <c r="I90" s="29" t="s">
        <v>276</v>
      </c>
      <c r="J90" s="18">
        <v>1.7</v>
      </c>
      <c r="K90" s="30">
        <v>3.1</v>
      </c>
      <c r="L90" s="18">
        <v>4.8</v>
      </c>
      <c r="M90" s="16"/>
      <c r="N90" s="16"/>
    </row>
    <row r="91" spans="3:14">
      <c r="C91" s="18">
        <f t="shared" si="1"/>
        <v>14</v>
      </c>
      <c r="D91" s="18" t="s">
        <v>71</v>
      </c>
      <c r="E91" s="29">
        <v>63</v>
      </c>
      <c r="F91" s="29">
        <v>131</v>
      </c>
      <c r="G91" s="29">
        <v>140</v>
      </c>
      <c r="H91" s="29">
        <v>75</v>
      </c>
      <c r="I91" s="29" t="s">
        <v>276</v>
      </c>
      <c r="J91" s="18">
        <v>1.7</v>
      </c>
      <c r="K91" s="30">
        <v>3.1</v>
      </c>
      <c r="L91" s="18">
        <v>4.8</v>
      </c>
      <c r="M91" s="16"/>
      <c r="N91" s="16"/>
    </row>
    <row r="92" spans="3:14">
      <c r="C92" s="18">
        <f t="shared" si="1"/>
        <v>15</v>
      </c>
      <c r="D92" s="18" t="s">
        <v>71</v>
      </c>
      <c r="E92" s="29">
        <v>63</v>
      </c>
      <c r="F92" s="29">
        <v>140</v>
      </c>
      <c r="G92" s="29">
        <v>223</v>
      </c>
      <c r="H92" s="29">
        <v>86</v>
      </c>
      <c r="I92" s="29" t="s">
        <v>276</v>
      </c>
      <c r="J92" s="18">
        <v>1.7</v>
      </c>
      <c r="K92" s="30">
        <v>3.1</v>
      </c>
      <c r="L92" s="18">
        <v>4.8</v>
      </c>
      <c r="M92" s="16"/>
      <c r="N92" s="16"/>
    </row>
    <row r="93" spans="3:14">
      <c r="C93" s="18">
        <f t="shared" si="1"/>
        <v>16</v>
      </c>
      <c r="D93" s="18" t="s">
        <v>71</v>
      </c>
      <c r="E93" s="29">
        <v>63</v>
      </c>
      <c r="F93" s="29">
        <v>140</v>
      </c>
      <c r="G93" s="29">
        <v>148</v>
      </c>
      <c r="H93" s="29">
        <v>103</v>
      </c>
      <c r="I93" s="29" t="s">
        <v>276</v>
      </c>
      <c r="J93" s="18">
        <v>1.7</v>
      </c>
      <c r="K93" s="30">
        <v>3.1</v>
      </c>
      <c r="L93" s="18">
        <v>4.8</v>
      </c>
      <c r="M93" s="16"/>
      <c r="N93" s="16"/>
    </row>
    <row r="94" spans="3:14">
      <c r="C94" s="18">
        <f t="shared" si="1"/>
        <v>17</v>
      </c>
      <c r="D94" s="18" t="s">
        <v>71</v>
      </c>
      <c r="E94" s="29">
        <v>63</v>
      </c>
      <c r="F94" s="29">
        <v>140</v>
      </c>
      <c r="G94" s="29">
        <v>148</v>
      </c>
      <c r="H94" s="29">
        <f>166-103</f>
        <v>63</v>
      </c>
      <c r="I94" s="29" t="s">
        <v>276</v>
      </c>
      <c r="J94" s="18">
        <v>1.7</v>
      </c>
      <c r="K94" s="30">
        <v>3.1</v>
      </c>
      <c r="L94" s="18">
        <v>4.8</v>
      </c>
      <c r="M94" s="16"/>
      <c r="N94" s="16"/>
    </row>
    <row r="95" spans="3:14">
      <c r="C95" s="18">
        <f t="shared" si="1"/>
        <v>18</v>
      </c>
      <c r="D95" s="18" t="s">
        <v>71</v>
      </c>
      <c r="E95" s="29">
        <v>63</v>
      </c>
      <c r="F95" s="29">
        <v>148</v>
      </c>
      <c r="G95" s="29">
        <v>162</v>
      </c>
      <c r="H95" s="29">
        <v>12</v>
      </c>
      <c r="I95" s="29" t="s">
        <v>276</v>
      </c>
      <c r="J95" s="18">
        <v>1.7</v>
      </c>
      <c r="K95" s="30">
        <v>3.1</v>
      </c>
      <c r="L95" s="18">
        <v>4.8</v>
      </c>
      <c r="M95" s="16"/>
      <c r="N95" s="16"/>
    </row>
    <row r="96" spans="3:14">
      <c r="C96" s="18">
        <f t="shared" si="1"/>
        <v>19</v>
      </c>
      <c r="D96" s="18" t="s">
        <v>71</v>
      </c>
      <c r="E96" s="29">
        <v>63</v>
      </c>
      <c r="F96" s="29">
        <v>148</v>
      </c>
      <c r="G96" s="29">
        <v>162</v>
      </c>
      <c r="H96" s="29">
        <f>150-12</f>
        <v>138</v>
      </c>
      <c r="I96" s="29" t="s">
        <v>276</v>
      </c>
      <c r="J96" s="18">
        <v>1.7</v>
      </c>
      <c r="K96" s="30">
        <v>3.1</v>
      </c>
      <c r="L96" s="18">
        <v>4.8</v>
      </c>
      <c r="M96" s="16"/>
      <c r="N96" s="16"/>
    </row>
    <row r="97" spans="3:14">
      <c r="C97" s="18">
        <f t="shared" si="1"/>
        <v>20</v>
      </c>
      <c r="D97" s="18" t="s">
        <v>71</v>
      </c>
      <c r="E97" s="29">
        <v>63</v>
      </c>
      <c r="F97" s="29">
        <v>131</v>
      </c>
      <c r="G97" s="29">
        <v>143</v>
      </c>
      <c r="H97" s="29">
        <v>74.599999999999994</v>
      </c>
      <c r="I97" s="29" t="s">
        <v>276</v>
      </c>
      <c r="J97" s="18">
        <v>1.7</v>
      </c>
      <c r="K97" s="30">
        <v>3.1</v>
      </c>
      <c r="L97" s="18">
        <v>4.8</v>
      </c>
      <c r="M97" s="16"/>
      <c r="N97" s="16"/>
    </row>
    <row r="98" spans="3:14">
      <c r="C98" s="18">
        <f t="shared" si="1"/>
        <v>21</v>
      </c>
      <c r="D98" s="18" t="s">
        <v>71</v>
      </c>
      <c r="E98" s="29">
        <v>63</v>
      </c>
      <c r="F98" s="29">
        <v>143</v>
      </c>
      <c r="G98" s="29">
        <v>155</v>
      </c>
      <c r="H98" s="29">
        <v>68.5</v>
      </c>
      <c r="I98" s="29" t="s">
        <v>276</v>
      </c>
      <c r="J98" s="18">
        <v>1.7</v>
      </c>
      <c r="K98" s="30">
        <v>3.1</v>
      </c>
      <c r="L98" s="18">
        <v>4.8</v>
      </c>
      <c r="M98" s="16"/>
      <c r="N98" s="16"/>
    </row>
    <row r="99" spans="3:14">
      <c r="C99" s="18">
        <f t="shared" si="1"/>
        <v>22</v>
      </c>
      <c r="D99" s="18" t="s">
        <v>71</v>
      </c>
      <c r="E99" s="29">
        <v>63</v>
      </c>
      <c r="F99" s="29">
        <v>143</v>
      </c>
      <c r="G99" s="29">
        <v>149</v>
      </c>
      <c r="H99" s="29">
        <v>78.8</v>
      </c>
      <c r="I99" s="29" t="s">
        <v>276</v>
      </c>
      <c r="J99" s="18">
        <v>1.7</v>
      </c>
      <c r="K99" s="30">
        <v>3.1</v>
      </c>
      <c r="L99" s="18">
        <v>4.8</v>
      </c>
      <c r="M99" s="16"/>
      <c r="N99" s="16"/>
    </row>
    <row r="100" spans="3:14">
      <c r="C100" s="18">
        <f t="shared" si="1"/>
        <v>23</v>
      </c>
      <c r="D100" s="18" t="s">
        <v>71</v>
      </c>
      <c r="E100" s="29">
        <v>63</v>
      </c>
      <c r="F100" s="29">
        <v>149</v>
      </c>
      <c r="G100" s="29">
        <v>118</v>
      </c>
      <c r="H100" s="29">
        <v>252</v>
      </c>
      <c r="I100" s="29" t="s">
        <v>276</v>
      </c>
      <c r="J100" s="18">
        <v>1.7</v>
      </c>
      <c r="K100" s="30">
        <v>3.1</v>
      </c>
      <c r="L100" s="18">
        <v>4.8</v>
      </c>
      <c r="M100" s="16"/>
      <c r="N100" s="16"/>
    </row>
    <row r="101" spans="3:14">
      <c r="C101" s="18">
        <f t="shared" si="1"/>
        <v>24</v>
      </c>
      <c r="D101" s="18" t="s">
        <v>71</v>
      </c>
      <c r="E101" s="29">
        <v>63</v>
      </c>
      <c r="F101" s="29">
        <v>118</v>
      </c>
      <c r="G101" s="29">
        <v>144</v>
      </c>
      <c r="H101" s="29">
        <v>25</v>
      </c>
      <c r="I101" s="29" t="s">
        <v>276</v>
      </c>
      <c r="J101" s="18">
        <v>1.7</v>
      </c>
      <c r="K101" s="30">
        <v>3.1</v>
      </c>
      <c r="L101" s="18">
        <v>4.8</v>
      </c>
      <c r="M101" s="16"/>
      <c r="N101" s="16"/>
    </row>
    <row r="102" spans="3:14">
      <c r="C102" s="18">
        <f t="shared" si="1"/>
        <v>25</v>
      </c>
      <c r="D102" s="18" t="s">
        <v>71</v>
      </c>
      <c r="E102" s="29">
        <v>63</v>
      </c>
      <c r="F102" s="29">
        <v>118</v>
      </c>
      <c r="G102" s="29">
        <v>232</v>
      </c>
      <c r="H102" s="29">
        <v>127</v>
      </c>
      <c r="I102" s="29" t="s">
        <v>276</v>
      </c>
      <c r="J102" s="18">
        <v>1.7</v>
      </c>
      <c r="K102" s="30">
        <v>3.1</v>
      </c>
      <c r="L102" s="18">
        <v>4.8</v>
      </c>
      <c r="M102" s="16"/>
      <c r="N102" s="16"/>
    </row>
    <row r="103" spans="3:14">
      <c r="C103" s="18">
        <f t="shared" si="1"/>
        <v>26</v>
      </c>
      <c r="D103" s="18" t="s">
        <v>71</v>
      </c>
      <c r="E103" s="29">
        <v>63</v>
      </c>
      <c r="F103" s="29">
        <v>149</v>
      </c>
      <c r="G103" s="29">
        <v>169</v>
      </c>
      <c r="H103" s="29">
        <v>74</v>
      </c>
      <c r="I103" s="29" t="s">
        <v>276</v>
      </c>
      <c r="J103" s="18">
        <v>1.7</v>
      </c>
      <c r="K103" s="30">
        <v>3.1</v>
      </c>
      <c r="L103" s="18">
        <v>4.8</v>
      </c>
      <c r="M103" s="16"/>
      <c r="N103" s="16"/>
    </row>
    <row r="104" spans="3:14">
      <c r="C104" s="18">
        <f t="shared" si="1"/>
        <v>27</v>
      </c>
      <c r="D104" s="18" t="s">
        <v>71</v>
      </c>
      <c r="E104" s="29">
        <v>63</v>
      </c>
      <c r="F104" s="29">
        <v>169</v>
      </c>
      <c r="G104" s="29">
        <v>172</v>
      </c>
      <c r="H104" s="29">
        <v>75</v>
      </c>
      <c r="I104" s="29" t="s">
        <v>276</v>
      </c>
      <c r="J104" s="18">
        <v>1.7</v>
      </c>
      <c r="K104" s="30">
        <v>3.1</v>
      </c>
      <c r="L104" s="18">
        <v>4.8</v>
      </c>
      <c r="M104" s="16"/>
      <c r="N104" s="16"/>
    </row>
    <row r="105" spans="3:14">
      <c r="C105" s="18">
        <f t="shared" si="1"/>
        <v>28</v>
      </c>
      <c r="D105" s="18" t="s">
        <v>71</v>
      </c>
      <c r="E105" s="29">
        <v>63</v>
      </c>
      <c r="F105" s="29">
        <v>172</v>
      </c>
      <c r="G105" s="29">
        <v>207</v>
      </c>
      <c r="H105" s="29">
        <v>31</v>
      </c>
      <c r="I105" s="29" t="s">
        <v>276</v>
      </c>
      <c r="J105" s="18">
        <v>1.7</v>
      </c>
      <c r="K105" s="30">
        <v>3.1</v>
      </c>
      <c r="L105" s="18">
        <v>4.8</v>
      </c>
      <c r="M105" s="16"/>
      <c r="N105" s="16"/>
    </row>
    <row r="106" spans="3:14">
      <c r="C106" s="18">
        <f t="shared" si="1"/>
        <v>29</v>
      </c>
      <c r="D106" s="18" t="s">
        <v>71</v>
      </c>
      <c r="E106" s="29">
        <v>63</v>
      </c>
      <c r="F106" s="29">
        <v>172</v>
      </c>
      <c r="G106" s="29">
        <v>243</v>
      </c>
      <c r="H106" s="29">
        <v>129</v>
      </c>
      <c r="I106" s="29" t="s">
        <v>276</v>
      </c>
      <c r="J106" s="18">
        <v>1.7</v>
      </c>
      <c r="K106" s="30">
        <v>3.1</v>
      </c>
      <c r="L106" s="18">
        <v>4.8</v>
      </c>
      <c r="M106" s="16"/>
      <c r="N106" s="16"/>
    </row>
    <row r="107" spans="3:14">
      <c r="C107" s="374"/>
      <c r="D107" s="374"/>
      <c r="E107" s="374"/>
      <c r="F107" s="374"/>
      <c r="G107" s="374"/>
      <c r="H107" s="374"/>
      <c r="I107" s="374"/>
      <c r="J107" s="374"/>
      <c r="K107" s="374"/>
      <c r="L107" s="374"/>
      <c r="M107" s="374"/>
      <c r="N107" s="374"/>
    </row>
    <row r="108" spans="3:14">
      <c r="C108" s="324"/>
      <c r="D108" s="324"/>
      <c r="E108" s="325" t="s">
        <v>86</v>
      </c>
      <c r="F108" s="325"/>
      <c r="G108" s="325"/>
      <c r="H108" s="325"/>
      <c r="I108" s="325" t="s">
        <v>87</v>
      </c>
      <c r="J108" s="325"/>
      <c r="K108" s="325"/>
      <c r="L108" s="325" t="s">
        <v>39</v>
      </c>
      <c r="M108" s="325"/>
      <c r="N108" s="325"/>
    </row>
    <row r="109" spans="3:14">
      <c r="C109" s="295" t="s">
        <v>40</v>
      </c>
      <c r="D109" s="295"/>
      <c r="E109" s="317"/>
      <c r="F109" s="317"/>
      <c r="G109" s="317"/>
      <c r="H109" s="317"/>
      <c r="I109" s="317"/>
      <c r="J109" s="317"/>
      <c r="K109" s="317"/>
      <c r="L109" s="317"/>
      <c r="M109" s="317"/>
      <c r="N109" s="317"/>
    </row>
    <row r="110" spans="3:14">
      <c r="C110" s="295" t="s">
        <v>41</v>
      </c>
      <c r="D110" s="295"/>
      <c r="E110" s="317"/>
      <c r="F110" s="317"/>
      <c r="G110" s="317"/>
      <c r="H110" s="317"/>
      <c r="I110" s="317"/>
      <c r="J110" s="317"/>
      <c r="K110" s="317"/>
      <c r="L110" s="317"/>
      <c r="M110" s="317"/>
      <c r="N110" s="317"/>
    </row>
    <row r="111" spans="3:14">
      <c r="C111" s="295" t="s">
        <v>42</v>
      </c>
      <c r="D111" s="295"/>
      <c r="E111" s="317"/>
      <c r="F111" s="317"/>
      <c r="G111" s="317"/>
      <c r="H111" s="317"/>
      <c r="I111" s="317"/>
      <c r="J111" s="317"/>
      <c r="K111" s="317"/>
      <c r="L111" s="317"/>
      <c r="M111" s="317"/>
      <c r="N111" s="317"/>
    </row>
    <row r="112" spans="3:14">
      <c r="C112" s="295" t="s">
        <v>43</v>
      </c>
      <c r="D112" s="295"/>
      <c r="E112" s="315"/>
      <c r="F112" s="316"/>
      <c r="G112" s="316"/>
      <c r="H112" s="316"/>
      <c r="I112" s="317"/>
      <c r="J112" s="317"/>
      <c r="K112" s="317"/>
      <c r="L112" s="317"/>
      <c r="M112" s="317"/>
      <c r="N112" s="317"/>
    </row>
    <row r="115" spans="3:14">
      <c r="C115" s="206"/>
      <c r="D115" s="211" t="s">
        <v>44</v>
      </c>
      <c r="E115" s="212"/>
      <c r="F115" s="212"/>
      <c r="G115" s="212"/>
      <c r="H115" s="212"/>
      <c r="I115" s="212"/>
      <c r="J115" s="212"/>
      <c r="K115" s="212"/>
      <c r="L115" s="20"/>
      <c r="M115" s="20"/>
      <c r="N115" s="21"/>
    </row>
    <row r="116" spans="3:14">
      <c r="C116" s="207"/>
      <c r="D116" s="214"/>
      <c r="E116" s="215"/>
      <c r="F116" s="215"/>
      <c r="G116" s="215"/>
      <c r="H116" s="215"/>
      <c r="I116" s="215"/>
      <c r="J116" s="215"/>
      <c r="K116" s="215"/>
      <c r="N116" s="22"/>
    </row>
    <row r="117" spans="3:14">
      <c r="C117" s="207"/>
      <c r="D117" s="214"/>
      <c r="E117" s="215"/>
      <c r="F117" s="215"/>
      <c r="G117" s="215"/>
      <c r="H117" s="215"/>
      <c r="I117" s="215"/>
      <c r="J117" s="215"/>
      <c r="K117" s="215"/>
      <c r="N117" s="22"/>
    </row>
    <row r="118" spans="3:14">
      <c r="C118" s="207"/>
      <c r="D118" s="289"/>
      <c r="E118" s="290"/>
      <c r="F118" s="290"/>
      <c r="G118" s="290"/>
      <c r="H118" s="290"/>
      <c r="I118" s="290"/>
      <c r="J118" s="290"/>
      <c r="K118" s="290"/>
      <c r="N118" s="22"/>
    </row>
    <row r="119" spans="3:14" ht="16.5">
      <c r="C119" s="223" t="s">
        <v>45</v>
      </c>
      <c r="D119" s="224"/>
      <c r="E119" s="7" t="s">
        <v>46</v>
      </c>
      <c r="F119" s="8"/>
      <c r="G119" s="8"/>
      <c r="H119" s="8"/>
      <c r="I119" s="8"/>
      <c r="J119" s="8"/>
      <c r="K119" s="8"/>
      <c r="L119" s="8"/>
      <c r="M119" s="8"/>
      <c r="N119" s="23"/>
    </row>
    <row r="120" spans="3:14" ht="16.5">
      <c r="C120" s="223" t="s">
        <v>48</v>
      </c>
      <c r="D120" s="224"/>
      <c r="E120" s="7" t="s">
        <v>49</v>
      </c>
      <c r="F120" s="8"/>
      <c r="G120" s="8"/>
      <c r="H120" s="8"/>
      <c r="I120" s="8"/>
      <c r="J120" s="8"/>
      <c r="K120" s="8"/>
      <c r="L120" s="8"/>
      <c r="M120" s="8"/>
      <c r="N120" s="23"/>
    </row>
    <row r="121" spans="3:14" ht="16.5">
      <c r="C121" s="225" t="s">
        <v>50</v>
      </c>
      <c r="D121" s="226"/>
      <c r="E121" s="7" t="s">
        <v>51</v>
      </c>
      <c r="F121" s="8"/>
      <c r="G121" s="8"/>
      <c r="H121" s="8"/>
      <c r="I121" s="8"/>
      <c r="J121" s="8"/>
      <c r="K121" s="8"/>
      <c r="L121" s="8"/>
      <c r="M121" s="8"/>
      <c r="N121" s="23"/>
    </row>
    <row r="122" spans="3:14" ht="16.5">
      <c r="C122" s="223" t="s">
        <v>52</v>
      </c>
      <c r="D122" s="224"/>
      <c r="E122" s="7" t="s">
        <v>53</v>
      </c>
      <c r="F122" s="8"/>
      <c r="G122" s="8"/>
      <c r="H122" s="8"/>
      <c r="I122" s="8"/>
      <c r="J122" s="8"/>
      <c r="K122" s="8"/>
      <c r="L122" s="8"/>
      <c r="M122" s="8"/>
      <c r="N122" s="23"/>
    </row>
    <row r="123" spans="3:14" ht="15.75">
      <c r="C123" s="227" t="s">
        <v>1117</v>
      </c>
      <c r="D123" s="228"/>
      <c r="E123" s="228"/>
      <c r="F123" s="228"/>
      <c r="G123" s="228"/>
      <c r="H123" s="228"/>
      <c r="I123" s="228"/>
      <c r="J123" s="228"/>
      <c r="K123" s="228"/>
      <c r="L123" s="228"/>
      <c r="M123" s="228"/>
      <c r="N123" s="229"/>
    </row>
    <row r="124" spans="3:14" ht="15.75">
      <c r="C124" s="11" t="s">
        <v>55</v>
      </c>
      <c r="E124" s="12"/>
      <c r="F124" s="12"/>
      <c r="G124" s="12"/>
      <c r="H124" s="12"/>
      <c r="I124" s="24" t="s">
        <v>56</v>
      </c>
      <c r="J124" s="25"/>
      <c r="K124" s="12"/>
      <c r="L124" s="12"/>
      <c r="M124" s="12"/>
      <c r="N124" s="26"/>
    </row>
    <row r="125" spans="3:14">
      <c r="C125" s="217"/>
      <c r="D125" s="218"/>
      <c r="E125" s="218"/>
      <c r="F125" s="218"/>
      <c r="G125" s="218"/>
      <c r="H125" s="218"/>
      <c r="I125" s="218"/>
      <c r="J125" s="218"/>
      <c r="K125" s="218"/>
      <c r="L125" s="218"/>
      <c r="M125" s="218"/>
      <c r="N125" s="219"/>
    </row>
    <row r="126" spans="3:14" ht="15.75">
      <c r="C126" s="15" t="s">
        <v>103</v>
      </c>
      <c r="D126" s="355"/>
      <c r="E126" s="356"/>
      <c r="F126" s="356"/>
      <c r="G126" s="356"/>
      <c r="H126" s="357"/>
      <c r="I126" s="368" t="s">
        <v>542</v>
      </c>
      <c r="J126" s="369"/>
      <c r="K126" s="369"/>
      <c r="L126" s="369"/>
      <c r="M126" s="369"/>
      <c r="N126" s="370"/>
    </row>
    <row r="127" spans="3:14">
      <c r="C127" s="329" t="s">
        <v>59</v>
      </c>
      <c r="D127" s="209" t="s">
        <v>60</v>
      </c>
      <c r="E127" s="209" t="s">
        <v>659</v>
      </c>
      <c r="F127" s="209" t="s">
        <v>62</v>
      </c>
      <c r="G127" s="209" t="s">
        <v>63</v>
      </c>
      <c r="H127" s="209" t="s">
        <v>64</v>
      </c>
      <c r="I127" s="209" t="s">
        <v>65</v>
      </c>
      <c r="J127" s="342" t="s">
        <v>66</v>
      </c>
      <c r="K127" s="343"/>
      <c r="L127" s="344"/>
      <c r="M127" s="209" t="s">
        <v>30</v>
      </c>
      <c r="N127" s="328" t="s">
        <v>67</v>
      </c>
    </row>
    <row r="128" spans="3:14" ht="60">
      <c r="C128" s="359"/>
      <c r="D128" s="292"/>
      <c r="E128" s="292"/>
      <c r="F128" s="292"/>
      <c r="G128" s="292"/>
      <c r="H128" s="292"/>
      <c r="I128" s="292"/>
      <c r="J128" s="17" t="s">
        <v>68</v>
      </c>
      <c r="K128" s="28" t="s">
        <v>999</v>
      </c>
      <c r="L128" s="17" t="s">
        <v>70</v>
      </c>
      <c r="M128" s="292"/>
      <c r="N128" s="360"/>
    </row>
    <row r="129" spans="3:14">
      <c r="C129" s="18">
        <v>1</v>
      </c>
      <c r="D129" s="18" t="s">
        <v>71</v>
      </c>
      <c r="E129" s="29">
        <v>63</v>
      </c>
      <c r="F129" s="29">
        <v>169</v>
      </c>
      <c r="G129" s="29">
        <v>230</v>
      </c>
      <c r="H129" s="29">
        <v>40</v>
      </c>
      <c r="I129" s="29" t="s">
        <v>276</v>
      </c>
      <c r="J129" s="18">
        <v>1.7</v>
      </c>
      <c r="K129" s="30">
        <v>3.1</v>
      </c>
      <c r="L129" s="18">
        <v>4.8</v>
      </c>
      <c r="M129" s="16"/>
      <c r="N129" s="16"/>
    </row>
    <row r="130" spans="3:14">
      <c r="C130" s="18">
        <f>1+C129</f>
        <v>2</v>
      </c>
      <c r="D130" s="18" t="s">
        <v>71</v>
      </c>
      <c r="E130" s="29">
        <v>63</v>
      </c>
      <c r="F130" s="29">
        <v>169</v>
      </c>
      <c r="G130" s="29">
        <v>230</v>
      </c>
      <c r="H130" s="29">
        <f>132-40</f>
        <v>92</v>
      </c>
      <c r="I130" s="29" t="s">
        <v>276</v>
      </c>
      <c r="J130" s="18">
        <v>1.7</v>
      </c>
      <c r="K130" s="30">
        <v>3.1</v>
      </c>
      <c r="L130" s="18">
        <v>4.8</v>
      </c>
      <c r="M130" s="16"/>
      <c r="N130" s="16"/>
    </row>
    <row r="131" spans="3:14">
      <c r="C131" s="18">
        <f t="shared" ref="C131:C159" si="2">1+C130</f>
        <v>3</v>
      </c>
      <c r="D131" s="18" t="s">
        <v>71</v>
      </c>
      <c r="E131" s="29">
        <v>63</v>
      </c>
      <c r="F131" s="29">
        <v>232</v>
      </c>
      <c r="G131" s="29">
        <v>218</v>
      </c>
      <c r="H131" s="29">
        <v>3</v>
      </c>
      <c r="I131" s="29" t="s">
        <v>276</v>
      </c>
      <c r="J131" s="18">
        <v>1.7</v>
      </c>
      <c r="K131" s="30">
        <v>3.1</v>
      </c>
      <c r="L131" s="18">
        <v>4.8</v>
      </c>
      <c r="M131" s="16"/>
      <c r="N131" s="16"/>
    </row>
    <row r="132" spans="3:14">
      <c r="C132" s="18">
        <f t="shared" si="2"/>
        <v>4</v>
      </c>
      <c r="D132" s="18" t="s">
        <v>71</v>
      </c>
      <c r="E132" s="29">
        <v>63</v>
      </c>
      <c r="F132" s="29">
        <v>232</v>
      </c>
      <c r="G132" s="29">
        <v>218</v>
      </c>
      <c r="H132" s="29">
        <f>191-3</f>
        <v>188</v>
      </c>
      <c r="I132" s="29" t="s">
        <v>276</v>
      </c>
      <c r="J132" s="18">
        <v>1.7</v>
      </c>
      <c r="K132" s="30">
        <v>3.1</v>
      </c>
      <c r="L132" s="18">
        <v>4.8</v>
      </c>
      <c r="M132" s="16"/>
      <c r="N132" s="16"/>
    </row>
    <row r="133" spans="3:14">
      <c r="C133" s="18">
        <f t="shared" si="2"/>
        <v>5</v>
      </c>
      <c r="D133" s="18" t="s">
        <v>71</v>
      </c>
      <c r="E133" s="29">
        <v>63</v>
      </c>
      <c r="F133" s="29">
        <v>218</v>
      </c>
      <c r="G133" s="29">
        <v>229</v>
      </c>
      <c r="H133" s="29">
        <v>52</v>
      </c>
      <c r="I133" s="29" t="s">
        <v>276</v>
      </c>
      <c r="J133" s="18">
        <v>1.7</v>
      </c>
      <c r="K133" s="30">
        <v>3.1</v>
      </c>
      <c r="L133" s="18">
        <v>4.8</v>
      </c>
      <c r="M133" s="16"/>
      <c r="N133" s="16"/>
    </row>
    <row r="134" spans="3:14">
      <c r="C134" s="18">
        <f t="shared" si="2"/>
        <v>6</v>
      </c>
      <c r="D134" s="18" t="s">
        <v>71</v>
      </c>
      <c r="E134" s="29">
        <v>63</v>
      </c>
      <c r="F134" s="29">
        <v>229</v>
      </c>
      <c r="G134" s="38">
        <v>220</v>
      </c>
      <c r="H134" s="29">
        <v>250</v>
      </c>
      <c r="I134" s="29" t="s">
        <v>276</v>
      </c>
      <c r="J134" s="18">
        <v>1.7</v>
      </c>
      <c r="K134" s="30">
        <v>3.1</v>
      </c>
      <c r="L134" s="18">
        <v>4.8</v>
      </c>
      <c r="M134" s="16"/>
      <c r="N134" s="16"/>
    </row>
    <row r="135" spans="3:14">
      <c r="C135" s="18">
        <f t="shared" si="2"/>
        <v>7</v>
      </c>
      <c r="D135" s="18" t="s">
        <v>71</v>
      </c>
      <c r="E135" s="29">
        <v>63</v>
      </c>
      <c r="F135" s="29">
        <v>190</v>
      </c>
      <c r="G135" s="38">
        <v>196</v>
      </c>
      <c r="H135" s="29">
        <v>66</v>
      </c>
      <c r="I135" s="29" t="s">
        <v>276</v>
      </c>
      <c r="J135" s="18">
        <v>1.7</v>
      </c>
      <c r="K135" s="30">
        <v>3.1</v>
      </c>
      <c r="L135" s="18">
        <v>4.8</v>
      </c>
      <c r="M135" s="16"/>
      <c r="N135" s="16"/>
    </row>
    <row r="136" spans="3:14">
      <c r="C136" s="18">
        <f t="shared" si="2"/>
        <v>8</v>
      </c>
      <c r="D136" s="18" t="s">
        <v>71</v>
      </c>
      <c r="E136" s="29">
        <v>63</v>
      </c>
      <c r="F136" s="29">
        <v>190</v>
      </c>
      <c r="G136" s="29">
        <v>202</v>
      </c>
      <c r="H136" s="29">
        <v>61.3</v>
      </c>
      <c r="I136" s="29" t="s">
        <v>276</v>
      </c>
      <c r="J136" s="18">
        <v>1.7</v>
      </c>
      <c r="K136" s="30">
        <v>3.1</v>
      </c>
      <c r="L136" s="18">
        <v>4.8</v>
      </c>
      <c r="M136" s="16"/>
      <c r="N136" s="16"/>
    </row>
    <row r="137" spans="3:14">
      <c r="C137" s="18">
        <f t="shared" si="2"/>
        <v>9</v>
      </c>
      <c r="D137" s="18" t="s">
        <v>71</v>
      </c>
      <c r="E137" s="29">
        <v>63</v>
      </c>
      <c r="F137" s="29">
        <v>202</v>
      </c>
      <c r="G137" s="29">
        <v>240</v>
      </c>
      <c r="H137" s="29">
        <v>77.3</v>
      </c>
      <c r="I137" s="29" t="s">
        <v>276</v>
      </c>
      <c r="J137" s="18">
        <v>1.7</v>
      </c>
      <c r="K137" s="30">
        <v>3.1</v>
      </c>
      <c r="L137" s="18">
        <v>4.8</v>
      </c>
      <c r="M137" s="16"/>
      <c r="N137" s="16"/>
    </row>
    <row r="138" spans="3:14">
      <c r="C138" s="18">
        <f t="shared" si="2"/>
        <v>10</v>
      </c>
      <c r="D138" s="18" t="s">
        <v>71</v>
      </c>
      <c r="E138" s="29">
        <v>63</v>
      </c>
      <c r="F138" s="29">
        <v>202</v>
      </c>
      <c r="G138" s="29">
        <v>210</v>
      </c>
      <c r="H138" s="29">
        <v>36</v>
      </c>
      <c r="I138" s="29" t="s">
        <v>276</v>
      </c>
      <c r="J138" s="18">
        <v>1.7</v>
      </c>
      <c r="K138" s="30">
        <v>3.1</v>
      </c>
      <c r="L138" s="18">
        <v>4.8</v>
      </c>
      <c r="M138" s="16"/>
      <c r="N138" s="16"/>
    </row>
    <row r="139" spans="3:14">
      <c r="C139" s="18">
        <f t="shared" si="2"/>
        <v>11</v>
      </c>
      <c r="D139" s="18" t="s">
        <v>71</v>
      </c>
      <c r="E139" s="29">
        <v>63</v>
      </c>
      <c r="F139" s="29">
        <v>210</v>
      </c>
      <c r="G139" s="29">
        <v>233</v>
      </c>
      <c r="H139" s="29">
        <v>63</v>
      </c>
      <c r="I139" s="29" t="s">
        <v>276</v>
      </c>
      <c r="J139" s="18">
        <v>1.7</v>
      </c>
      <c r="K139" s="30">
        <v>3.1</v>
      </c>
      <c r="L139" s="18">
        <v>4.8</v>
      </c>
      <c r="M139" s="16"/>
      <c r="N139" s="16"/>
    </row>
    <row r="140" spans="3:14">
      <c r="C140" s="18">
        <f t="shared" si="2"/>
        <v>12</v>
      </c>
      <c r="D140" s="18" t="s">
        <v>71</v>
      </c>
      <c r="E140" s="29">
        <v>63</v>
      </c>
      <c r="F140" s="29">
        <v>233</v>
      </c>
      <c r="G140" s="29">
        <v>213</v>
      </c>
      <c r="H140" s="29">
        <v>347.2</v>
      </c>
      <c r="I140" s="29" t="s">
        <v>276</v>
      </c>
      <c r="J140" s="18">
        <v>1.7</v>
      </c>
      <c r="K140" s="30">
        <v>3.1</v>
      </c>
      <c r="L140" s="18">
        <v>4.8</v>
      </c>
      <c r="M140" s="16"/>
      <c r="N140" s="16"/>
    </row>
    <row r="141" spans="3:14">
      <c r="C141" s="18">
        <f t="shared" si="2"/>
        <v>13</v>
      </c>
      <c r="D141" s="18" t="s">
        <v>71</v>
      </c>
      <c r="E141" s="29">
        <v>63</v>
      </c>
      <c r="F141" s="29">
        <v>213</v>
      </c>
      <c r="G141" s="29">
        <v>209</v>
      </c>
      <c r="H141" s="29">
        <v>5</v>
      </c>
      <c r="I141" s="29" t="s">
        <v>276</v>
      </c>
      <c r="J141" s="18">
        <v>1.7</v>
      </c>
      <c r="K141" s="30">
        <v>3.1</v>
      </c>
      <c r="L141" s="18">
        <v>4.8</v>
      </c>
      <c r="M141" s="16"/>
      <c r="N141" s="16"/>
    </row>
    <row r="142" spans="3:14">
      <c r="C142" s="18">
        <f t="shared" si="2"/>
        <v>14</v>
      </c>
      <c r="D142" s="18" t="s">
        <v>71</v>
      </c>
      <c r="E142" s="29">
        <v>63</v>
      </c>
      <c r="F142" s="29">
        <v>213</v>
      </c>
      <c r="G142" s="29">
        <v>209</v>
      </c>
      <c r="H142" s="29">
        <f>102.7-5</f>
        <v>97.7</v>
      </c>
      <c r="I142" s="29" t="s">
        <v>276</v>
      </c>
      <c r="J142" s="18">
        <v>1.7</v>
      </c>
      <c r="K142" s="30">
        <v>3.1</v>
      </c>
      <c r="L142" s="18">
        <v>4.8</v>
      </c>
      <c r="M142" s="16"/>
      <c r="N142" s="16"/>
    </row>
    <row r="143" spans="3:14">
      <c r="C143" s="18">
        <f t="shared" si="2"/>
        <v>15</v>
      </c>
      <c r="D143" s="18" t="s">
        <v>71</v>
      </c>
      <c r="E143" s="29">
        <v>63</v>
      </c>
      <c r="F143" s="29">
        <v>213</v>
      </c>
      <c r="G143" s="29">
        <v>187</v>
      </c>
      <c r="H143" s="29">
        <v>3</v>
      </c>
      <c r="I143" s="29" t="s">
        <v>276</v>
      </c>
      <c r="J143" s="18">
        <v>1.7</v>
      </c>
      <c r="K143" s="30">
        <v>3.1</v>
      </c>
      <c r="L143" s="18">
        <v>4.8</v>
      </c>
      <c r="M143" s="16"/>
      <c r="N143" s="16"/>
    </row>
    <row r="144" spans="3:14">
      <c r="C144" s="18">
        <f t="shared" si="2"/>
        <v>16</v>
      </c>
      <c r="D144" s="18" t="s">
        <v>71</v>
      </c>
      <c r="E144" s="29">
        <v>63</v>
      </c>
      <c r="F144" s="29">
        <v>213</v>
      </c>
      <c r="G144" s="29">
        <v>187</v>
      </c>
      <c r="H144" s="29">
        <f>580-3</f>
        <v>577</v>
      </c>
      <c r="I144" s="29" t="s">
        <v>276</v>
      </c>
      <c r="J144" s="18">
        <v>1.7</v>
      </c>
      <c r="K144" s="30">
        <v>3.1</v>
      </c>
      <c r="L144" s="18">
        <v>4.8</v>
      </c>
      <c r="M144" s="16"/>
      <c r="N144" s="16"/>
    </row>
    <row r="145" spans="3:14">
      <c r="C145" s="18">
        <f t="shared" si="2"/>
        <v>17</v>
      </c>
      <c r="D145" s="18" t="s">
        <v>71</v>
      </c>
      <c r="E145" s="29">
        <v>63</v>
      </c>
      <c r="F145" s="29">
        <v>233</v>
      </c>
      <c r="G145" s="29">
        <v>208</v>
      </c>
      <c r="H145" s="29">
        <v>5</v>
      </c>
      <c r="I145" s="29" t="s">
        <v>276</v>
      </c>
      <c r="J145" s="18">
        <v>1.7</v>
      </c>
      <c r="K145" s="30">
        <v>3.1</v>
      </c>
      <c r="L145" s="18">
        <v>4.8</v>
      </c>
      <c r="M145" s="16"/>
      <c r="N145" s="16"/>
    </row>
    <row r="146" spans="3:14">
      <c r="C146" s="18">
        <f t="shared" si="2"/>
        <v>18</v>
      </c>
      <c r="D146" s="18" t="s">
        <v>71</v>
      </c>
      <c r="E146" s="29">
        <v>63</v>
      </c>
      <c r="F146" s="29">
        <v>233</v>
      </c>
      <c r="G146" s="29">
        <v>208</v>
      </c>
      <c r="H146" s="29">
        <f>109-5</f>
        <v>104</v>
      </c>
      <c r="I146" s="29" t="s">
        <v>276</v>
      </c>
      <c r="J146" s="18">
        <v>1.7</v>
      </c>
      <c r="K146" s="30">
        <v>3.1</v>
      </c>
      <c r="L146" s="18">
        <v>4.8</v>
      </c>
      <c r="M146" s="16"/>
      <c r="N146" s="16"/>
    </row>
    <row r="147" spans="3:14">
      <c r="C147" s="18">
        <f t="shared" si="2"/>
        <v>19</v>
      </c>
      <c r="D147" s="18" t="s">
        <v>71</v>
      </c>
      <c r="E147" s="29">
        <v>63</v>
      </c>
      <c r="F147" s="29">
        <v>208</v>
      </c>
      <c r="G147" s="29">
        <v>193</v>
      </c>
      <c r="H147" s="29">
        <v>43</v>
      </c>
      <c r="I147" s="29" t="s">
        <v>276</v>
      </c>
      <c r="J147" s="18">
        <v>1.7</v>
      </c>
      <c r="K147" s="30">
        <v>3.1</v>
      </c>
      <c r="L147" s="18">
        <v>4.8</v>
      </c>
      <c r="M147" s="16"/>
      <c r="N147" s="16"/>
    </row>
    <row r="148" spans="3:14">
      <c r="C148" s="18">
        <f t="shared" si="2"/>
        <v>20</v>
      </c>
      <c r="D148" s="18" t="s">
        <v>71</v>
      </c>
      <c r="E148" s="29">
        <v>63</v>
      </c>
      <c r="F148" s="29">
        <v>208</v>
      </c>
      <c r="G148" s="29">
        <v>185</v>
      </c>
      <c r="H148" s="29">
        <v>94</v>
      </c>
      <c r="I148" s="29" t="s">
        <v>276</v>
      </c>
      <c r="J148" s="18">
        <v>1.7</v>
      </c>
      <c r="K148" s="30">
        <v>3.1</v>
      </c>
      <c r="L148" s="18">
        <v>4.8</v>
      </c>
      <c r="M148" s="16"/>
      <c r="N148" s="16"/>
    </row>
    <row r="149" spans="3:14">
      <c r="C149" s="18">
        <f t="shared" si="2"/>
        <v>21</v>
      </c>
      <c r="D149" s="18" t="s">
        <v>71</v>
      </c>
      <c r="E149" s="29">
        <v>63</v>
      </c>
      <c r="F149" s="29">
        <v>185</v>
      </c>
      <c r="G149" s="29">
        <v>222</v>
      </c>
      <c r="H149" s="29">
        <v>131</v>
      </c>
      <c r="I149" s="29" t="s">
        <v>276</v>
      </c>
      <c r="J149" s="18">
        <v>1.7</v>
      </c>
      <c r="K149" s="30">
        <v>3.1</v>
      </c>
      <c r="L149" s="18">
        <v>4.8</v>
      </c>
      <c r="M149" s="16"/>
      <c r="N149" s="16"/>
    </row>
    <row r="150" spans="3:14">
      <c r="C150" s="18">
        <f t="shared" si="2"/>
        <v>22</v>
      </c>
      <c r="D150" s="18" t="s">
        <v>71</v>
      </c>
      <c r="E150" s="29">
        <v>63</v>
      </c>
      <c r="F150" s="29">
        <v>222</v>
      </c>
      <c r="G150" s="29">
        <v>236</v>
      </c>
      <c r="H150" s="29">
        <v>178</v>
      </c>
      <c r="I150" s="29" t="s">
        <v>276</v>
      </c>
      <c r="J150" s="18">
        <v>1.7</v>
      </c>
      <c r="K150" s="30">
        <v>3.1</v>
      </c>
      <c r="L150" s="18">
        <v>4.8</v>
      </c>
      <c r="M150" s="16"/>
      <c r="N150" s="16"/>
    </row>
    <row r="151" spans="3:14">
      <c r="C151" s="18">
        <f t="shared" si="2"/>
        <v>23</v>
      </c>
      <c r="D151" s="18" t="s">
        <v>71</v>
      </c>
      <c r="E151" s="29">
        <v>63</v>
      </c>
      <c r="F151" s="29">
        <v>233</v>
      </c>
      <c r="G151" s="29">
        <v>226</v>
      </c>
      <c r="H151" s="29">
        <v>210.1</v>
      </c>
      <c r="I151" s="29" t="s">
        <v>276</v>
      </c>
      <c r="J151" s="18">
        <v>1.7</v>
      </c>
      <c r="K151" s="30">
        <v>3.1</v>
      </c>
      <c r="L151" s="18">
        <v>4.8</v>
      </c>
      <c r="M151" s="16"/>
      <c r="N151" s="16"/>
    </row>
    <row r="152" spans="3:14">
      <c r="C152" s="18">
        <f t="shared" si="2"/>
        <v>24</v>
      </c>
      <c r="D152" s="18" t="s">
        <v>71</v>
      </c>
      <c r="E152" s="29">
        <v>63</v>
      </c>
      <c r="F152" s="29">
        <v>226</v>
      </c>
      <c r="G152" s="29">
        <v>203</v>
      </c>
      <c r="H152" s="29">
        <v>47.5</v>
      </c>
      <c r="I152" s="29" t="s">
        <v>276</v>
      </c>
      <c r="J152" s="18">
        <v>1.7</v>
      </c>
      <c r="K152" s="30">
        <v>3.1</v>
      </c>
      <c r="L152" s="18">
        <v>4.8</v>
      </c>
      <c r="M152" s="16"/>
      <c r="N152" s="16"/>
    </row>
    <row r="153" spans="3:14">
      <c r="C153" s="18">
        <f t="shared" si="2"/>
        <v>25</v>
      </c>
      <c r="D153" s="18" t="s">
        <v>71</v>
      </c>
      <c r="E153" s="29">
        <v>63</v>
      </c>
      <c r="F153" s="29">
        <v>203</v>
      </c>
      <c r="G153" s="29">
        <v>241</v>
      </c>
      <c r="H153" s="29">
        <v>88.2</v>
      </c>
      <c r="I153" s="29" t="s">
        <v>276</v>
      </c>
      <c r="J153" s="18">
        <v>1.7</v>
      </c>
      <c r="K153" s="30">
        <v>3.1</v>
      </c>
      <c r="L153" s="18">
        <v>4.8</v>
      </c>
      <c r="M153" s="16"/>
      <c r="N153" s="16"/>
    </row>
    <row r="154" spans="3:14">
      <c r="C154" s="18">
        <f t="shared" si="2"/>
        <v>26</v>
      </c>
      <c r="D154" s="18" t="s">
        <v>71</v>
      </c>
      <c r="E154" s="29">
        <v>63</v>
      </c>
      <c r="F154" s="29">
        <v>179</v>
      </c>
      <c r="G154" s="29">
        <v>184</v>
      </c>
      <c r="H154" s="29">
        <v>16.7</v>
      </c>
      <c r="I154" s="29" t="s">
        <v>276</v>
      </c>
      <c r="J154" s="18">
        <v>1.7</v>
      </c>
      <c r="K154" s="30">
        <v>3.1</v>
      </c>
      <c r="L154" s="18">
        <v>4.8</v>
      </c>
      <c r="M154" s="16"/>
      <c r="N154" s="16"/>
    </row>
    <row r="155" spans="3:14">
      <c r="C155" s="18">
        <f t="shared" si="2"/>
        <v>27</v>
      </c>
      <c r="D155" s="18" t="s">
        <v>71</v>
      </c>
      <c r="E155" s="29">
        <v>63</v>
      </c>
      <c r="F155" s="29">
        <v>218</v>
      </c>
      <c r="G155" s="29">
        <v>238</v>
      </c>
      <c r="H155" s="29">
        <v>162</v>
      </c>
      <c r="I155" s="29" t="s">
        <v>276</v>
      </c>
      <c r="J155" s="18">
        <v>1.7</v>
      </c>
      <c r="K155" s="30">
        <v>3.1</v>
      </c>
      <c r="L155" s="18">
        <v>4.8</v>
      </c>
      <c r="M155" s="16"/>
      <c r="N155" s="16"/>
    </row>
    <row r="156" spans="3:14">
      <c r="C156" s="18">
        <f t="shared" si="2"/>
        <v>28</v>
      </c>
      <c r="D156" s="18" t="s">
        <v>71</v>
      </c>
      <c r="E156" s="29">
        <v>63</v>
      </c>
      <c r="F156" s="29">
        <v>238</v>
      </c>
      <c r="G156" s="29">
        <v>237</v>
      </c>
      <c r="H156" s="29">
        <v>3</v>
      </c>
      <c r="I156" s="29" t="s">
        <v>276</v>
      </c>
      <c r="J156" s="18">
        <v>1.7</v>
      </c>
      <c r="K156" s="30">
        <v>3.1</v>
      </c>
      <c r="L156" s="18">
        <v>4.8</v>
      </c>
      <c r="M156" s="16"/>
      <c r="N156" s="16"/>
    </row>
    <row r="157" spans="3:14">
      <c r="C157" s="18">
        <f t="shared" si="2"/>
        <v>29</v>
      </c>
      <c r="D157" s="18" t="s">
        <v>71</v>
      </c>
      <c r="E157" s="29">
        <v>63</v>
      </c>
      <c r="F157" s="29">
        <v>238</v>
      </c>
      <c r="G157" s="29">
        <v>237</v>
      </c>
      <c r="H157" s="29">
        <f>130-3</f>
        <v>127</v>
      </c>
      <c r="I157" s="29" t="s">
        <v>276</v>
      </c>
      <c r="J157" s="18">
        <v>1.7</v>
      </c>
      <c r="K157" s="30">
        <v>3.1</v>
      </c>
      <c r="L157" s="18">
        <v>4.8</v>
      </c>
      <c r="M157" s="16"/>
      <c r="N157" s="16"/>
    </row>
    <row r="158" spans="3:14">
      <c r="C158" s="18">
        <f t="shared" si="2"/>
        <v>30</v>
      </c>
      <c r="D158" s="18" t="s">
        <v>71</v>
      </c>
      <c r="E158" s="29">
        <v>63</v>
      </c>
      <c r="F158" s="29">
        <v>237</v>
      </c>
      <c r="G158" s="29">
        <v>231</v>
      </c>
      <c r="H158" s="29">
        <v>130</v>
      </c>
      <c r="I158" s="29" t="s">
        <v>276</v>
      </c>
      <c r="J158" s="18">
        <v>1.7</v>
      </c>
      <c r="K158" s="30">
        <v>3.1</v>
      </c>
      <c r="L158" s="18">
        <v>4.8</v>
      </c>
      <c r="M158" s="16"/>
      <c r="N158" s="16"/>
    </row>
    <row r="159" spans="3:14">
      <c r="C159" s="18">
        <f t="shared" si="2"/>
        <v>31</v>
      </c>
      <c r="D159" s="18" t="s">
        <v>71</v>
      </c>
      <c r="E159" s="29">
        <v>63</v>
      </c>
      <c r="F159" s="29">
        <v>237</v>
      </c>
      <c r="G159" s="29">
        <v>231</v>
      </c>
      <c r="H159" s="29">
        <f>208-130</f>
        <v>78</v>
      </c>
      <c r="I159" s="29" t="s">
        <v>276</v>
      </c>
      <c r="J159" s="18">
        <v>1.7</v>
      </c>
      <c r="K159" s="30">
        <v>3.1</v>
      </c>
      <c r="L159" s="18">
        <v>4.8</v>
      </c>
      <c r="M159" s="16"/>
      <c r="N159" s="16"/>
    </row>
    <row r="160" spans="3:14">
      <c r="C160" s="374"/>
      <c r="D160" s="374"/>
      <c r="E160" s="374"/>
      <c r="F160" s="374"/>
      <c r="G160" s="374"/>
      <c r="H160" s="374"/>
      <c r="I160" s="374"/>
      <c r="J160" s="374"/>
      <c r="K160" s="374"/>
      <c r="L160" s="374"/>
      <c r="M160" s="374"/>
      <c r="N160" s="374"/>
    </row>
    <row r="161" spans="3:14">
      <c r="C161" s="324"/>
      <c r="D161" s="324"/>
      <c r="E161" s="325" t="s">
        <v>86</v>
      </c>
      <c r="F161" s="325"/>
      <c r="G161" s="325"/>
      <c r="H161" s="325"/>
      <c r="I161" s="325" t="s">
        <v>87</v>
      </c>
      <c r="J161" s="325"/>
      <c r="K161" s="325"/>
      <c r="L161" s="325" t="s">
        <v>39</v>
      </c>
      <c r="M161" s="325"/>
      <c r="N161" s="325"/>
    </row>
    <row r="162" spans="3:14">
      <c r="C162" s="295" t="s">
        <v>40</v>
      </c>
      <c r="D162" s="295"/>
      <c r="E162" s="317"/>
      <c r="F162" s="317"/>
      <c r="G162" s="317"/>
      <c r="H162" s="317"/>
      <c r="I162" s="317"/>
      <c r="J162" s="317"/>
      <c r="K162" s="317"/>
      <c r="L162" s="317"/>
      <c r="M162" s="317"/>
      <c r="N162" s="317"/>
    </row>
    <row r="163" spans="3:14">
      <c r="C163" s="295" t="s">
        <v>41</v>
      </c>
      <c r="D163" s="295"/>
      <c r="E163" s="317"/>
      <c r="F163" s="317"/>
      <c r="G163" s="317"/>
      <c r="H163" s="317"/>
      <c r="I163" s="317"/>
      <c r="J163" s="317"/>
      <c r="K163" s="317"/>
      <c r="L163" s="317"/>
      <c r="M163" s="317"/>
      <c r="N163" s="317"/>
    </row>
    <row r="164" spans="3:14">
      <c r="C164" s="295" t="s">
        <v>42</v>
      </c>
      <c r="D164" s="295"/>
      <c r="E164" s="317"/>
      <c r="F164" s="317"/>
      <c r="G164" s="317"/>
      <c r="H164" s="317"/>
      <c r="I164" s="317"/>
      <c r="J164" s="317"/>
      <c r="K164" s="317"/>
      <c r="L164" s="317"/>
      <c r="M164" s="317"/>
      <c r="N164" s="317"/>
    </row>
    <row r="165" spans="3:14">
      <c r="C165" s="295" t="s">
        <v>43</v>
      </c>
      <c r="D165" s="295"/>
      <c r="E165" s="315"/>
      <c r="F165" s="316"/>
      <c r="G165" s="316"/>
      <c r="H165" s="316"/>
      <c r="I165" s="317"/>
      <c r="J165" s="317"/>
      <c r="K165" s="317"/>
      <c r="L165" s="317"/>
      <c r="M165" s="317"/>
      <c r="N165" s="317"/>
    </row>
    <row r="167" spans="3:14">
      <c r="C167" s="206"/>
      <c r="D167" s="211" t="s">
        <v>44</v>
      </c>
      <c r="E167" s="212"/>
      <c r="F167" s="212"/>
      <c r="G167" s="212"/>
      <c r="H167" s="212"/>
      <c r="I167" s="212"/>
      <c r="J167" s="212"/>
      <c r="K167" s="212"/>
      <c r="L167" s="20"/>
      <c r="M167" s="20"/>
      <c r="N167" s="21"/>
    </row>
    <row r="168" spans="3:14">
      <c r="C168" s="207"/>
      <c r="D168" s="214"/>
      <c r="E168" s="215"/>
      <c r="F168" s="215"/>
      <c r="G168" s="215"/>
      <c r="H168" s="215"/>
      <c r="I168" s="215"/>
      <c r="J168" s="215"/>
      <c r="K168" s="215"/>
      <c r="N168" s="22"/>
    </row>
    <row r="169" spans="3:14">
      <c r="C169" s="207"/>
      <c r="D169" s="214"/>
      <c r="E169" s="215"/>
      <c r="F169" s="215"/>
      <c r="G169" s="215"/>
      <c r="H169" s="215"/>
      <c r="I169" s="215"/>
      <c r="J169" s="215"/>
      <c r="K169" s="215"/>
      <c r="N169" s="22"/>
    </row>
    <row r="170" spans="3:14">
      <c r="C170" s="207"/>
      <c r="D170" s="289"/>
      <c r="E170" s="290"/>
      <c r="F170" s="290"/>
      <c r="G170" s="290"/>
      <c r="H170" s="290"/>
      <c r="I170" s="290"/>
      <c r="J170" s="290"/>
      <c r="K170" s="290"/>
      <c r="N170" s="22"/>
    </row>
    <row r="171" spans="3:14" ht="16.5">
      <c r="C171" s="223" t="s">
        <v>45</v>
      </c>
      <c r="D171" s="224"/>
      <c r="E171" s="7" t="s">
        <v>46</v>
      </c>
      <c r="F171" s="8"/>
      <c r="G171" s="8"/>
      <c r="H171" s="8"/>
      <c r="I171" s="8"/>
      <c r="J171" s="8"/>
      <c r="K171" s="8"/>
      <c r="L171" s="8"/>
      <c r="M171" s="8"/>
      <c r="N171" s="23"/>
    </row>
    <row r="172" spans="3:14" ht="16.5">
      <c r="C172" s="223" t="s">
        <v>48</v>
      </c>
      <c r="D172" s="224"/>
      <c r="E172" s="7" t="s">
        <v>49</v>
      </c>
      <c r="F172" s="8"/>
      <c r="G172" s="8"/>
      <c r="H172" s="8"/>
      <c r="I172" s="8"/>
      <c r="J172" s="8"/>
      <c r="K172" s="8"/>
      <c r="L172" s="8"/>
      <c r="M172" s="8"/>
      <c r="N172" s="23"/>
    </row>
    <row r="173" spans="3:14" ht="16.5">
      <c r="C173" s="225" t="s">
        <v>50</v>
      </c>
      <c r="D173" s="226"/>
      <c r="E173" s="7" t="s">
        <v>51</v>
      </c>
      <c r="F173" s="8"/>
      <c r="G173" s="8"/>
      <c r="H173" s="8"/>
      <c r="I173" s="8"/>
      <c r="J173" s="8"/>
      <c r="K173" s="8"/>
      <c r="L173" s="8"/>
      <c r="M173" s="8"/>
      <c r="N173" s="23"/>
    </row>
    <row r="174" spans="3:14" ht="16.5">
      <c r="C174" s="223" t="s">
        <v>52</v>
      </c>
      <c r="D174" s="224"/>
      <c r="E174" s="7" t="s">
        <v>53</v>
      </c>
      <c r="F174" s="8"/>
      <c r="G174" s="8"/>
      <c r="H174" s="8"/>
      <c r="I174" s="8"/>
      <c r="J174" s="8"/>
      <c r="K174" s="8"/>
      <c r="L174" s="8"/>
      <c r="M174" s="8"/>
      <c r="N174" s="23"/>
    </row>
    <row r="175" spans="3:14" ht="15.75">
      <c r="C175" s="227" t="s">
        <v>1117</v>
      </c>
      <c r="D175" s="228"/>
      <c r="E175" s="228"/>
      <c r="F175" s="228"/>
      <c r="G175" s="228"/>
      <c r="H175" s="228"/>
      <c r="I175" s="228"/>
      <c r="J175" s="228"/>
      <c r="K175" s="228"/>
      <c r="L175" s="228"/>
      <c r="M175" s="228"/>
      <c r="N175" s="229"/>
    </row>
    <row r="176" spans="3:14" ht="15.75">
      <c r="C176" s="11" t="s">
        <v>55</v>
      </c>
      <c r="E176" s="12"/>
      <c r="F176" s="12"/>
      <c r="G176" s="12"/>
      <c r="H176" s="12"/>
      <c r="I176" s="24" t="s">
        <v>56</v>
      </c>
      <c r="J176" s="25"/>
      <c r="K176" s="12"/>
      <c r="L176" s="12"/>
      <c r="M176" s="12"/>
      <c r="N176" s="26"/>
    </row>
    <row r="177" spans="3:14">
      <c r="C177" s="217"/>
      <c r="D177" s="218"/>
      <c r="E177" s="218"/>
      <c r="F177" s="218"/>
      <c r="G177" s="218"/>
      <c r="H177" s="218"/>
      <c r="I177" s="218"/>
      <c r="J177" s="218"/>
      <c r="K177" s="218"/>
      <c r="L177" s="218"/>
      <c r="M177" s="218"/>
      <c r="N177" s="219"/>
    </row>
    <row r="178" spans="3:14" ht="15.75">
      <c r="C178" s="15" t="s">
        <v>103</v>
      </c>
      <c r="D178" s="355"/>
      <c r="E178" s="356"/>
      <c r="F178" s="356"/>
      <c r="G178" s="356"/>
      <c r="H178" s="357"/>
      <c r="I178" s="368" t="s">
        <v>542</v>
      </c>
      <c r="J178" s="369"/>
      <c r="K178" s="369"/>
      <c r="L178" s="369"/>
      <c r="M178" s="369"/>
      <c r="N178" s="370"/>
    </row>
    <row r="179" spans="3:14">
      <c r="C179" s="329" t="s">
        <v>59</v>
      </c>
      <c r="D179" s="209" t="s">
        <v>60</v>
      </c>
      <c r="E179" s="209" t="s">
        <v>659</v>
      </c>
      <c r="F179" s="209" t="s">
        <v>62</v>
      </c>
      <c r="G179" s="209" t="s">
        <v>63</v>
      </c>
      <c r="H179" s="209" t="s">
        <v>64</v>
      </c>
      <c r="I179" s="209" t="s">
        <v>65</v>
      </c>
      <c r="J179" s="342" t="s">
        <v>66</v>
      </c>
      <c r="K179" s="343"/>
      <c r="L179" s="344"/>
      <c r="M179" s="209" t="s">
        <v>30</v>
      </c>
      <c r="N179" s="328" t="s">
        <v>67</v>
      </c>
    </row>
    <row r="180" spans="3:14" ht="60">
      <c r="C180" s="359"/>
      <c r="D180" s="292"/>
      <c r="E180" s="292"/>
      <c r="F180" s="292"/>
      <c r="G180" s="292"/>
      <c r="H180" s="292"/>
      <c r="I180" s="292"/>
      <c r="J180" s="17" t="s">
        <v>68</v>
      </c>
      <c r="K180" s="28" t="s">
        <v>999</v>
      </c>
      <c r="L180" s="17" t="s">
        <v>70</v>
      </c>
      <c r="M180" s="292"/>
      <c r="N180" s="360"/>
    </row>
    <row r="181" spans="3:14">
      <c r="C181" s="18">
        <v>1</v>
      </c>
      <c r="D181" s="18" t="s">
        <v>71</v>
      </c>
      <c r="E181" s="29">
        <v>63</v>
      </c>
      <c r="F181" s="29">
        <v>238</v>
      </c>
      <c r="G181" s="29">
        <v>214</v>
      </c>
      <c r="H181" s="29">
        <v>115</v>
      </c>
      <c r="I181" s="29" t="s">
        <v>276</v>
      </c>
      <c r="J181" s="18">
        <v>1.7</v>
      </c>
      <c r="K181" s="30">
        <v>3.1</v>
      </c>
      <c r="L181" s="18">
        <v>4.8</v>
      </c>
      <c r="M181" s="16"/>
      <c r="N181" s="16"/>
    </row>
    <row r="182" spans="3:14">
      <c r="C182" s="18">
        <f>1+C181</f>
        <v>2</v>
      </c>
      <c r="D182" s="18" t="s">
        <v>71</v>
      </c>
      <c r="E182" s="29">
        <v>63</v>
      </c>
      <c r="F182" s="29">
        <v>214</v>
      </c>
      <c r="G182" s="29">
        <v>197</v>
      </c>
      <c r="H182" s="29">
        <v>114</v>
      </c>
      <c r="I182" s="29" t="s">
        <v>276</v>
      </c>
      <c r="J182" s="18">
        <v>1.7</v>
      </c>
      <c r="K182" s="30">
        <v>3.1</v>
      </c>
      <c r="L182" s="18">
        <v>4.8</v>
      </c>
      <c r="M182" s="16"/>
      <c r="N182" s="16"/>
    </row>
    <row r="183" spans="3:14">
      <c r="C183" s="18">
        <f t="shared" ref="C183:C220" si="3">1+C182</f>
        <v>3</v>
      </c>
      <c r="D183" s="18" t="s">
        <v>71</v>
      </c>
      <c r="E183" s="29">
        <v>63</v>
      </c>
      <c r="F183" s="29">
        <v>214</v>
      </c>
      <c r="G183" s="29">
        <v>236</v>
      </c>
      <c r="H183" s="29">
        <v>3</v>
      </c>
      <c r="I183" s="29" t="s">
        <v>276</v>
      </c>
      <c r="J183" s="18">
        <v>1.7</v>
      </c>
      <c r="K183" s="30">
        <v>3.1</v>
      </c>
      <c r="L183" s="18">
        <v>4.8</v>
      </c>
      <c r="M183" s="16"/>
      <c r="N183" s="16"/>
    </row>
    <row r="184" spans="3:14">
      <c r="C184" s="18">
        <f t="shared" si="3"/>
        <v>4</v>
      </c>
      <c r="D184" s="18" t="s">
        <v>71</v>
      </c>
      <c r="E184" s="29">
        <v>63</v>
      </c>
      <c r="F184" s="29">
        <v>214</v>
      </c>
      <c r="G184" s="29">
        <v>236</v>
      </c>
      <c r="H184" s="29">
        <f>82-3</f>
        <v>79</v>
      </c>
      <c r="I184" s="29" t="s">
        <v>276</v>
      </c>
      <c r="J184" s="18">
        <v>1.7</v>
      </c>
      <c r="K184" s="30">
        <v>3.1</v>
      </c>
      <c r="L184" s="18">
        <v>4.8</v>
      </c>
      <c r="M184" s="16"/>
      <c r="N184" s="16"/>
    </row>
    <row r="185" spans="3:14">
      <c r="C185" s="18">
        <f t="shared" si="3"/>
        <v>5</v>
      </c>
      <c r="D185" s="18" t="s">
        <v>71</v>
      </c>
      <c r="E185" s="29">
        <v>63</v>
      </c>
      <c r="F185" s="29">
        <v>236</v>
      </c>
      <c r="G185" s="29">
        <v>234</v>
      </c>
      <c r="H185" s="29">
        <v>40</v>
      </c>
      <c r="I185" s="29" t="s">
        <v>276</v>
      </c>
      <c r="J185" s="18">
        <v>1.7</v>
      </c>
      <c r="K185" s="30">
        <v>3.1</v>
      </c>
      <c r="L185" s="18">
        <v>4.8</v>
      </c>
      <c r="M185" s="16"/>
      <c r="N185" s="16"/>
    </row>
    <row r="186" spans="3:14">
      <c r="C186" s="18">
        <f t="shared" si="3"/>
        <v>6</v>
      </c>
      <c r="D186" s="18" t="s">
        <v>71</v>
      </c>
      <c r="E186" s="29">
        <v>63</v>
      </c>
      <c r="F186" s="29">
        <v>234</v>
      </c>
      <c r="G186" s="29">
        <v>227</v>
      </c>
      <c r="H186" s="29">
        <v>31</v>
      </c>
      <c r="I186" s="29" t="s">
        <v>276</v>
      </c>
      <c r="J186" s="18">
        <v>1.7</v>
      </c>
      <c r="K186" s="30">
        <v>3.1</v>
      </c>
      <c r="L186" s="18">
        <v>4.8</v>
      </c>
      <c r="M186" s="16"/>
      <c r="N186" s="16"/>
    </row>
    <row r="187" spans="3:14">
      <c r="C187" s="18">
        <f t="shared" si="3"/>
        <v>7</v>
      </c>
      <c r="D187" s="18" t="s">
        <v>71</v>
      </c>
      <c r="E187" s="29">
        <v>63</v>
      </c>
      <c r="F187" s="29">
        <v>234</v>
      </c>
      <c r="G187" s="29">
        <v>239</v>
      </c>
      <c r="H187" s="29">
        <v>42</v>
      </c>
      <c r="I187" s="29" t="s">
        <v>276</v>
      </c>
      <c r="J187" s="18">
        <v>1.7</v>
      </c>
      <c r="K187" s="30">
        <v>3.1</v>
      </c>
      <c r="L187" s="18">
        <v>4.8</v>
      </c>
      <c r="M187" s="16"/>
      <c r="N187" s="16"/>
    </row>
    <row r="188" spans="3:14">
      <c r="C188" s="18">
        <f t="shared" si="3"/>
        <v>8</v>
      </c>
      <c r="D188" s="18" t="s">
        <v>71</v>
      </c>
      <c r="E188" s="29">
        <v>63</v>
      </c>
      <c r="F188" s="29">
        <v>239</v>
      </c>
      <c r="G188" s="29">
        <v>205</v>
      </c>
      <c r="H188" s="29">
        <v>35</v>
      </c>
      <c r="I188" s="29" t="s">
        <v>276</v>
      </c>
      <c r="J188" s="18">
        <v>1.7</v>
      </c>
      <c r="K188" s="30">
        <v>3.1</v>
      </c>
      <c r="L188" s="18">
        <v>4.8</v>
      </c>
      <c r="M188" s="16"/>
      <c r="N188" s="16"/>
    </row>
    <row r="189" spans="3:14">
      <c r="C189" s="18">
        <f t="shared" si="3"/>
        <v>9</v>
      </c>
      <c r="D189" s="18" t="s">
        <v>71</v>
      </c>
      <c r="E189" s="29">
        <v>63</v>
      </c>
      <c r="F189" s="29">
        <v>239</v>
      </c>
      <c r="G189" s="29">
        <v>221</v>
      </c>
      <c r="H189" s="29">
        <v>44</v>
      </c>
      <c r="I189" s="29" t="s">
        <v>276</v>
      </c>
      <c r="J189" s="18">
        <v>1.7</v>
      </c>
      <c r="K189" s="30">
        <v>3.1</v>
      </c>
      <c r="L189" s="18">
        <v>4.8</v>
      </c>
      <c r="M189" s="16"/>
      <c r="N189" s="16"/>
    </row>
    <row r="190" spans="3:14">
      <c r="C190" s="18">
        <f t="shared" si="3"/>
        <v>10</v>
      </c>
      <c r="D190" s="18" t="s">
        <v>71</v>
      </c>
      <c r="E190" s="29">
        <v>63</v>
      </c>
      <c r="F190" s="29">
        <v>245</v>
      </c>
      <c r="G190" s="29">
        <v>248</v>
      </c>
      <c r="H190" s="29">
        <v>100</v>
      </c>
      <c r="I190" s="29" t="s">
        <v>276</v>
      </c>
      <c r="J190" s="18">
        <v>1.7</v>
      </c>
      <c r="K190" s="30">
        <v>3.1</v>
      </c>
      <c r="L190" s="18">
        <v>4.8</v>
      </c>
      <c r="M190" s="16"/>
      <c r="N190" s="16"/>
    </row>
    <row r="191" spans="3:14">
      <c r="C191" s="18">
        <f t="shared" si="3"/>
        <v>11</v>
      </c>
      <c r="D191" s="18" t="s">
        <v>71</v>
      </c>
      <c r="E191" s="29">
        <v>63</v>
      </c>
      <c r="F191" s="29" t="s">
        <v>396</v>
      </c>
      <c r="G191" s="29" t="s">
        <v>309</v>
      </c>
      <c r="H191" s="29">
        <v>59.9</v>
      </c>
      <c r="I191" s="29" t="s">
        <v>276</v>
      </c>
      <c r="J191" s="18">
        <v>1.7</v>
      </c>
      <c r="K191" s="30">
        <v>3.1</v>
      </c>
      <c r="L191" s="18">
        <v>4.8</v>
      </c>
      <c r="M191" s="16"/>
      <c r="N191" s="16"/>
    </row>
    <row r="192" spans="3:14">
      <c r="C192" s="18">
        <f t="shared" si="3"/>
        <v>12</v>
      </c>
      <c r="D192" s="18" t="s">
        <v>71</v>
      </c>
      <c r="E192" s="29">
        <v>63</v>
      </c>
      <c r="F192" s="29" t="s">
        <v>868</v>
      </c>
      <c r="G192" s="29" t="s">
        <v>343</v>
      </c>
      <c r="H192" s="29">
        <v>91</v>
      </c>
      <c r="I192" s="29" t="s">
        <v>276</v>
      </c>
      <c r="J192" s="18">
        <v>1.7</v>
      </c>
      <c r="K192" s="30">
        <v>3.1</v>
      </c>
      <c r="L192" s="18">
        <v>4.8</v>
      </c>
      <c r="M192" s="16"/>
      <c r="N192" s="16"/>
    </row>
    <row r="193" spans="3:14">
      <c r="C193" s="18">
        <f t="shared" si="3"/>
        <v>13</v>
      </c>
      <c r="D193" s="18" t="s">
        <v>71</v>
      </c>
      <c r="E193" s="29">
        <v>63</v>
      </c>
      <c r="F193" s="29" t="s">
        <v>1006</v>
      </c>
      <c r="G193" s="29" t="s">
        <v>669</v>
      </c>
      <c r="H193" s="29">
        <v>190</v>
      </c>
      <c r="I193" s="29" t="s">
        <v>276</v>
      </c>
      <c r="J193" s="18">
        <v>1.7</v>
      </c>
      <c r="K193" s="30">
        <v>3.1</v>
      </c>
      <c r="L193" s="18">
        <v>4.8</v>
      </c>
      <c r="M193" s="16"/>
      <c r="N193" s="16"/>
    </row>
    <row r="194" spans="3:14">
      <c r="C194" s="18">
        <f t="shared" si="3"/>
        <v>14</v>
      </c>
      <c r="D194" s="18" t="s">
        <v>71</v>
      </c>
      <c r="E194" s="29">
        <v>63</v>
      </c>
      <c r="F194" s="29" t="s">
        <v>343</v>
      </c>
      <c r="G194" s="29" t="s">
        <v>702</v>
      </c>
      <c r="H194" s="29">
        <v>21</v>
      </c>
      <c r="I194" s="29" t="s">
        <v>276</v>
      </c>
      <c r="J194" s="18">
        <v>1.7</v>
      </c>
      <c r="K194" s="30">
        <v>3.1</v>
      </c>
      <c r="L194" s="18">
        <v>4.8</v>
      </c>
      <c r="M194" s="16"/>
      <c r="N194" s="16"/>
    </row>
    <row r="195" spans="3:14">
      <c r="C195" s="18">
        <f t="shared" si="3"/>
        <v>15</v>
      </c>
      <c r="D195" s="18" t="s">
        <v>71</v>
      </c>
      <c r="E195" s="29">
        <v>63</v>
      </c>
      <c r="F195" s="29" t="s">
        <v>343</v>
      </c>
      <c r="G195" s="29" t="s">
        <v>702</v>
      </c>
      <c r="H195" s="29">
        <v>10</v>
      </c>
      <c r="I195" s="29" t="s">
        <v>276</v>
      </c>
      <c r="J195" s="18">
        <v>1.7</v>
      </c>
      <c r="K195" s="30">
        <v>3.1</v>
      </c>
      <c r="L195" s="18">
        <v>4.8</v>
      </c>
      <c r="M195" s="16"/>
      <c r="N195" s="16"/>
    </row>
    <row r="196" spans="3:14">
      <c r="C196" s="18">
        <f t="shared" si="3"/>
        <v>16</v>
      </c>
      <c r="D196" s="18" t="s">
        <v>71</v>
      </c>
      <c r="E196" s="29">
        <v>63</v>
      </c>
      <c r="F196" s="29" t="s">
        <v>702</v>
      </c>
      <c r="G196" s="29" t="s">
        <v>523</v>
      </c>
      <c r="H196" s="29">
        <v>30.3</v>
      </c>
      <c r="I196" s="29" t="s">
        <v>276</v>
      </c>
      <c r="J196" s="18">
        <v>1.7</v>
      </c>
      <c r="K196" s="30">
        <v>3.1</v>
      </c>
      <c r="L196" s="18">
        <v>4.8</v>
      </c>
      <c r="M196" s="16"/>
      <c r="N196" s="16"/>
    </row>
    <row r="197" spans="3:14">
      <c r="C197" s="18">
        <f t="shared" si="3"/>
        <v>17</v>
      </c>
      <c r="D197" s="18" t="s">
        <v>71</v>
      </c>
      <c r="E197" s="29">
        <v>63</v>
      </c>
      <c r="F197" s="29" t="s">
        <v>796</v>
      </c>
      <c r="G197" s="29" t="s">
        <v>787</v>
      </c>
      <c r="H197" s="29">
        <v>40</v>
      </c>
      <c r="I197" s="29" t="s">
        <v>276</v>
      </c>
      <c r="J197" s="18">
        <v>1.7</v>
      </c>
      <c r="K197" s="30">
        <v>3.1</v>
      </c>
      <c r="L197" s="18">
        <v>4.8</v>
      </c>
      <c r="M197" s="16"/>
      <c r="N197" s="16"/>
    </row>
    <row r="198" spans="3:14">
      <c r="C198" s="18">
        <f t="shared" si="3"/>
        <v>18</v>
      </c>
      <c r="D198" s="18" t="s">
        <v>71</v>
      </c>
      <c r="E198" s="29">
        <v>75</v>
      </c>
      <c r="F198" s="29">
        <v>231</v>
      </c>
      <c r="G198" s="29">
        <v>245</v>
      </c>
      <c r="H198" s="29">
        <v>207</v>
      </c>
      <c r="I198" s="29" t="s">
        <v>276</v>
      </c>
      <c r="J198" s="18">
        <v>1.7</v>
      </c>
      <c r="K198" s="30">
        <v>3.1</v>
      </c>
      <c r="L198" s="18">
        <v>4.8</v>
      </c>
      <c r="M198" s="16"/>
      <c r="N198" s="16"/>
    </row>
    <row r="199" spans="3:14">
      <c r="C199" s="18">
        <f t="shared" si="3"/>
        <v>19</v>
      </c>
      <c r="D199" s="18" t="s">
        <v>71</v>
      </c>
      <c r="E199" s="29">
        <v>90</v>
      </c>
      <c r="F199" s="29">
        <v>204</v>
      </c>
      <c r="G199" s="29">
        <v>179</v>
      </c>
      <c r="H199" s="29">
        <v>55</v>
      </c>
      <c r="I199" s="29" t="s">
        <v>276</v>
      </c>
      <c r="J199" s="18">
        <v>1.7</v>
      </c>
      <c r="K199" s="30">
        <v>3.1</v>
      </c>
      <c r="L199" s="18">
        <v>4.8</v>
      </c>
      <c r="M199" s="16"/>
      <c r="N199" s="16"/>
    </row>
    <row r="200" spans="3:14">
      <c r="C200" s="18">
        <f t="shared" si="3"/>
        <v>20</v>
      </c>
      <c r="D200" s="18" t="s">
        <v>71</v>
      </c>
      <c r="E200" s="29">
        <v>90</v>
      </c>
      <c r="F200" s="29">
        <v>232</v>
      </c>
      <c r="G200" s="29">
        <v>231</v>
      </c>
      <c r="H200" s="29">
        <v>8</v>
      </c>
      <c r="I200" s="29" t="s">
        <v>276</v>
      </c>
      <c r="J200" s="18">
        <v>1.7</v>
      </c>
      <c r="K200" s="30">
        <v>3.1</v>
      </c>
      <c r="L200" s="18">
        <v>4.8</v>
      </c>
      <c r="M200" s="16"/>
      <c r="N200" s="16"/>
    </row>
    <row r="201" spans="3:14">
      <c r="C201" s="18">
        <f t="shared" si="3"/>
        <v>21</v>
      </c>
      <c r="D201" s="18" t="s">
        <v>71</v>
      </c>
      <c r="E201" s="29">
        <v>90</v>
      </c>
      <c r="F201" s="29">
        <v>232</v>
      </c>
      <c r="G201" s="29">
        <v>231</v>
      </c>
      <c r="H201" s="29">
        <f>335-10</f>
        <v>325</v>
      </c>
      <c r="I201" s="29" t="s">
        <v>276</v>
      </c>
      <c r="J201" s="18">
        <v>1.7</v>
      </c>
      <c r="K201" s="30">
        <v>3.1</v>
      </c>
      <c r="L201" s="18">
        <v>4.8</v>
      </c>
      <c r="M201" s="16"/>
      <c r="N201" s="16"/>
    </row>
    <row r="202" spans="3:14">
      <c r="C202" s="18">
        <f t="shared" si="3"/>
        <v>22</v>
      </c>
      <c r="D202" s="18" t="s">
        <v>71</v>
      </c>
      <c r="E202" s="29">
        <v>90</v>
      </c>
      <c r="F202" s="29" t="s">
        <v>1020</v>
      </c>
      <c r="G202" s="29" t="s">
        <v>808</v>
      </c>
      <c r="H202" s="29">
        <v>11</v>
      </c>
      <c r="I202" s="29" t="s">
        <v>276</v>
      </c>
      <c r="J202" s="18">
        <v>1.7</v>
      </c>
      <c r="K202" s="30">
        <v>3.1</v>
      </c>
      <c r="L202" s="18">
        <v>4.8</v>
      </c>
      <c r="M202" s="16"/>
      <c r="N202" s="16"/>
    </row>
    <row r="203" spans="3:14">
      <c r="C203" s="18">
        <f t="shared" si="3"/>
        <v>23</v>
      </c>
      <c r="D203" s="18" t="s">
        <v>71</v>
      </c>
      <c r="E203" s="29">
        <v>90</v>
      </c>
      <c r="F203" s="29">
        <v>230</v>
      </c>
      <c r="G203" s="29">
        <v>232</v>
      </c>
      <c r="H203" s="29">
        <v>196.3</v>
      </c>
      <c r="I203" s="29" t="s">
        <v>276</v>
      </c>
      <c r="J203" s="18">
        <v>1.7</v>
      </c>
      <c r="K203" s="30">
        <v>3.1</v>
      </c>
      <c r="L203" s="18">
        <v>4.8</v>
      </c>
      <c r="M203" s="16"/>
      <c r="N203" s="16"/>
    </row>
    <row r="204" spans="3:14">
      <c r="C204" s="18">
        <f t="shared" si="3"/>
        <v>24</v>
      </c>
      <c r="D204" s="18" t="s">
        <v>71</v>
      </c>
      <c r="E204" s="29">
        <v>110</v>
      </c>
      <c r="F204" s="29">
        <v>241</v>
      </c>
      <c r="G204" s="29">
        <v>243</v>
      </c>
      <c r="H204" s="29">
        <v>30</v>
      </c>
      <c r="I204" s="29" t="s">
        <v>276</v>
      </c>
      <c r="J204" s="18">
        <v>1.7</v>
      </c>
      <c r="K204" s="30">
        <v>3.1</v>
      </c>
      <c r="L204" s="18">
        <v>4.8</v>
      </c>
      <c r="M204" s="16"/>
      <c r="N204" s="16"/>
    </row>
    <row r="205" spans="3:14">
      <c r="C205" s="18">
        <f t="shared" si="3"/>
        <v>25</v>
      </c>
      <c r="D205" s="18" t="s">
        <v>71</v>
      </c>
      <c r="E205" s="29">
        <v>110</v>
      </c>
      <c r="F205" s="29">
        <v>243</v>
      </c>
      <c r="G205" s="29">
        <v>235</v>
      </c>
      <c r="H205" s="29">
        <v>47</v>
      </c>
      <c r="I205" s="29" t="s">
        <v>276</v>
      </c>
      <c r="J205" s="18">
        <v>1.7</v>
      </c>
      <c r="K205" s="30">
        <v>3.1</v>
      </c>
      <c r="L205" s="18">
        <v>4.8</v>
      </c>
      <c r="M205" s="16"/>
      <c r="N205" s="16"/>
    </row>
    <row r="206" spans="3:14">
      <c r="C206" s="18">
        <f t="shared" si="3"/>
        <v>26</v>
      </c>
      <c r="D206" s="18" t="s">
        <v>71</v>
      </c>
      <c r="E206" s="29">
        <v>110</v>
      </c>
      <c r="F206" s="29">
        <v>224</v>
      </c>
      <c r="G206" s="29">
        <v>235</v>
      </c>
      <c r="H206" s="29">
        <v>95</v>
      </c>
      <c r="I206" s="29" t="s">
        <v>276</v>
      </c>
      <c r="J206" s="18">
        <v>1.7</v>
      </c>
      <c r="K206" s="30">
        <v>3.1</v>
      </c>
      <c r="L206" s="18">
        <v>4.8</v>
      </c>
      <c r="M206" s="16"/>
      <c r="N206" s="16"/>
    </row>
    <row r="207" spans="3:14">
      <c r="C207" s="18">
        <f t="shared" si="3"/>
        <v>27</v>
      </c>
      <c r="D207" s="18" t="s">
        <v>71</v>
      </c>
      <c r="E207" s="29">
        <v>110</v>
      </c>
      <c r="F207" s="29">
        <v>224</v>
      </c>
      <c r="G207" s="29">
        <v>286</v>
      </c>
      <c r="H207" s="29">
        <v>88</v>
      </c>
      <c r="I207" s="29" t="s">
        <v>276</v>
      </c>
      <c r="J207" s="18">
        <v>1.7</v>
      </c>
      <c r="K207" s="30">
        <v>3.1</v>
      </c>
      <c r="L207" s="18">
        <v>4.8</v>
      </c>
      <c r="M207" s="16"/>
      <c r="N207" s="16"/>
    </row>
    <row r="208" spans="3:14">
      <c r="C208" s="18">
        <f t="shared" si="3"/>
        <v>28</v>
      </c>
      <c r="D208" s="18" t="s">
        <v>71</v>
      </c>
      <c r="E208" s="29">
        <v>110</v>
      </c>
      <c r="F208" s="29">
        <v>186</v>
      </c>
      <c r="G208" s="29">
        <v>178</v>
      </c>
      <c r="H208" s="29">
        <v>25</v>
      </c>
      <c r="I208" s="29" t="s">
        <v>276</v>
      </c>
      <c r="J208" s="18">
        <v>1.7</v>
      </c>
      <c r="K208" s="30">
        <v>3.1</v>
      </c>
      <c r="L208" s="18">
        <v>4.8</v>
      </c>
      <c r="M208" s="16"/>
      <c r="N208" s="16"/>
    </row>
    <row r="209" spans="3:14">
      <c r="C209" s="18">
        <f t="shared" si="3"/>
        <v>29</v>
      </c>
      <c r="D209" s="18" t="s">
        <v>71</v>
      </c>
      <c r="E209" s="29">
        <v>110</v>
      </c>
      <c r="F209" s="29">
        <v>178</v>
      </c>
      <c r="G209" s="29">
        <v>199</v>
      </c>
      <c r="H209" s="29">
        <v>11</v>
      </c>
      <c r="I209" s="29" t="s">
        <v>276</v>
      </c>
      <c r="J209" s="18">
        <v>1.7</v>
      </c>
      <c r="K209" s="30">
        <v>3.1</v>
      </c>
      <c r="L209" s="18">
        <v>4.8</v>
      </c>
      <c r="M209" s="16"/>
      <c r="N209" s="16"/>
    </row>
    <row r="210" spans="3:14">
      <c r="C210" s="18">
        <f t="shared" si="3"/>
        <v>30</v>
      </c>
      <c r="D210" s="18" t="s">
        <v>71</v>
      </c>
      <c r="E210" s="29">
        <v>110</v>
      </c>
      <c r="F210" s="29">
        <v>199</v>
      </c>
      <c r="G210" s="29">
        <v>170</v>
      </c>
      <c r="H210" s="29">
        <v>151</v>
      </c>
      <c r="I210" s="29" t="s">
        <v>276</v>
      </c>
      <c r="J210" s="18">
        <v>1.7</v>
      </c>
      <c r="K210" s="30">
        <v>3.1</v>
      </c>
      <c r="L210" s="18">
        <v>4.8</v>
      </c>
      <c r="M210" s="16"/>
      <c r="N210" s="16"/>
    </row>
    <row r="211" spans="3:14">
      <c r="C211" s="18">
        <f t="shared" si="3"/>
        <v>31</v>
      </c>
      <c r="D211" s="18" t="s">
        <v>71</v>
      </c>
      <c r="E211" s="29">
        <v>125</v>
      </c>
      <c r="F211" s="29">
        <v>241</v>
      </c>
      <c r="G211" s="29">
        <v>204</v>
      </c>
      <c r="H211" s="29">
        <v>74</v>
      </c>
      <c r="I211" s="29" t="s">
        <v>276</v>
      </c>
      <c r="J211" s="18">
        <v>1.7</v>
      </c>
      <c r="K211" s="30">
        <v>3.1</v>
      </c>
      <c r="L211" s="18">
        <v>4.8</v>
      </c>
      <c r="M211" s="16"/>
      <c r="N211" s="16"/>
    </row>
    <row r="212" spans="3:14">
      <c r="C212" s="18">
        <f t="shared" si="3"/>
        <v>32</v>
      </c>
      <c r="D212" s="18" t="s">
        <v>71</v>
      </c>
      <c r="E212" s="29">
        <v>125</v>
      </c>
      <c r="F212" s="29">
        <v>123</v>
      </c>
      <c r="G212" s="29">
        <v>112</v>
      </c>
      <c r="H212" s="29">
        <v>174</v>
      </c>
      <c r="I212" s="29" t="s">
        <v>276</v>
      </c>
      <c r="J212" s="18">
        <v>1.7</v>
      </c>
      <c r="K212" s="30">
        <v>3.1</v>
      </c>
      <c r="L212" s="18">
        <v>4.8</v>
      </c>
      <c r="M212" s="16"/>
      <c r="N212" s="16"/>
    </row>
    <row r="213" spans="3:14">
      <c r="C213" s="18">
        <f t="shared" si="3"/>
        <v>33</v>
      </c>
      <c r="D213" s="18" t="s">
        <v>71</v>
      </c>
      <c r="E213" s="29">
        <v>125</v>
      </c>
      <c r="F213" s="29">
        <v>112</v>
      </c>
      <c r="G213" s="29">
        <v>107</v>
      </c>
      <c r="H213" s="29">
        <v>180</v>
      </c>
      <c r="I213" s="29" t="s">
        <v>276</v>
      </c>
      <c r="J213" s="18">
        <v>1.7</v>
      </c>
      <c r="K213" s="30">
        <v>3.1</v>
      </c>
      <c r="L213" s="18">
        <v>4.8</v>
      </c>
      <c r="M213" s="16"/>
      <c r="N213" s="16"/>
    </row>
    <row r="214" spans="3:14">
      <c r="C214" s="18">
        <f t="shared" si="3"/>
        <v>34</v>
      </c>
      <c r="D214" s="18" t="s">
        <v>71</v>
      </c>
      <c r="E214" s="29">
        <v>125</v>
      </c>
      <c r="F214" s="29">
        <v>170</v>
      </c>
      <c r="G214" s="29">
        <v>160</v>
      </c>
      <c r="H214" s="29">
        <v>71</v>
      </c>
      <c r="I214" s="29" t="s">
        <v>276</v>
      </c>
      <c r="J214" s="18">
        <v>1.7</v>
      </c>
      <c r="K214" s="30">
        <v>3.1</v>
      </c>
      <c r="L214" s="18">
        <v>4.8</v>
      </c>
      <c r="M214" s="16"/>
      <c r="N214" s="16"/>
    </row>
    <row r="215" spans="3:14">
      <c r="C215" s="18">
        <f t="shared" si="3"/>
        <v>35</v>
      </c>
      <c r="D215" s="18" t="s">
        <v>71</v>
      </c>
      <c r="E215" s="29">
        <v>125</v>
      </c>
      <c r="F215" s="29">
        <v>160</v>
      </c>
      <c r="G215" s="29">
        <v>141</v>
      </c>
      <c r="H215" s="29">
        <v>53</v>
      </c>
      <c r="I215" s="29" t="s">
        <v>276</v>
      </c>
      <c r="J215" s="18">
        <v>1.7</v>
      </c>
      <c r="K215" s="30">
        <v>3.1</v>
      </c>
      <c r="L215" s="18">
        <v>4.8</v>
      </c>
      <c r="M215" s="16"/>
      <c r="N215" s="16"/>
    </row>
    <row r="216" spans="3:14">
      <c r="C216" s="18">
        <f t="shared" si="3"/>
        <v>36</v>
      </c>
      <c r="D216" s="18" t="s">
        <v>71</v>
      </c>
      <c r="E216" s="29">
        <v>125</v>
      </c>
      <c r="F216" s="29">
        <v>141</v>
      </c>
      <c r="G216" s="29">
        <v>137</v>
      </c>
      <c r="H216" s="29">
        <v>35</v>
      </c>
      <c r="I216" s="29" t="s">
        <v>276</v>
      </c>
      <c r="J216" s="18">
        <v>1.7</v>
      </c>
      <c r="K216" s="30">
        <v>3.1</v>
      </c>
      <c r="L216" s="18">
        <v>4.8</v>
      </c>
      <c r="M216" s="16"/>
      <c r="N216" s="16"/>
    </row>
    <row r="217" spans="3:14">
      <c r="C217" s="18">
        <f t="shared" si="3"/>
        <v>37</v>
      </c>
      <c r="D217" s="18" t="s">
        <v>71</v>
      </c>
      <c r="E217" s="29">
        <v>125</v>
      </c>
      <c r="F217" s="29">
        <v>137</v>
      </c>
      <c r="G217" s="29">
        <v>125</v>
      </c>
      <c r="H217" s="29">
        <v>42</v>
      </c>
      <c r="I217" s="29" t="s">
        <v>276</v>
      </c>
      <c r="J217" s="18">
        <v>1.7</v>
      </c>
      <c r="K217" s="30">
        <v>3.1</v>
      </c>
      <c r="L217" s="18">
        <v>4.8</v>
      </c>
      <c r="M217" s="16"/>
      <c r="N217" s="16"/>
    </row>
    <row r="218" spans="3:14">
      <c r="C218" s="18">
        <f t="shared" si="3"/>
        <v>38</v>
      </c>
      <c r="D218" s="18" t="s">
        <v>71</v>
      </c>
      <c r="E218" s="29">
        <v>125</v>
      </c>
      <c r="F218" s="29">
        <v>125</v>
      </c>
      <c r="G218" s="29">
        <v>122</v>
      </c>
      <c r="H218" s="29">
        <v>44</v>
      </c>
      <c r="I218" s="29" t="s">
        <v>276</v>
      </c>
      <c r="J218" s="18">
        <v>1.7</v>
      </c>
      <c r="K218" s="30">
        <v>3.1</v>
      </c>
      <c r="L218" s="18">
        <v>4.8</v>
      </c>
      <c r="M218" s="16"/>
      <c r="N218" s="16"/>
    </row>
    <row r="219" spans="3:14">
      <c r="C219" s="18">
        <f t="shared" si="3"/>
        <v>39</v>
      </c>
      <c r="D219" s="18" t="s">
        <v>71</v>
      </c>
      <c r="E219" s="29">
        <v>125</v>
      </c>
      <c r="F219" s="29">
        <v>122</v>
      </c>
      <c r="G219" s="29">
        <v>147</v>
      </c>
      <c r="H219" s="29">
        <v>52</v>
      </c>
      <c r="I219" s="29" t="s">
        <v>276</v>
      </c>
      <c r="J219" s="18">
        <v>1.7</v>
      </c>
      <c r="K219" s="30">
        <v>3.1</v>
      </c>
      <c r="L219" s="18">
        <v>4.8</v>
      </c>
      <c r="M219" s="16"/>
      <c r="N219" s="16"/>
    </row>
    <row r="220" spans="3:14">
      <c r="C220" s="18">
        <f t="shared" si="3"/>
        <v>40</v>
      </c>
      <c r="D220" s="18" t="s">
        <v>71</v>
      </c>
      <c r="E220" s="29">
        <v>125</v>
      </c>
      <c r="F220" s="29">
        <v>147</v>
      </c>
      <c r="G220" s="29">
        <v>123</v>
      </c>
      <c r="H220" s="29">
        <v>42</v>
      </c>
      <c r="I220" s="29" t="s">
        <v>276</v>
      </c>
      <c r="J220" s="18">
        <v>1.7</v>
      </c>
      <c r="K220" s="30">
        <v>3.1</v>
      </c>
      <c r="L220" s="18">
        <v>4.8</v>
      </c>
      <c r="M220" s="16"/>
      <c r="N220" s="16"/>
    </row>
    <row r="221" spans="3:14">
      <c r="C221" s="374"/>
      <c r="D221" s="374"/>
      <c r="E221" s="374"/>
      <c r="F221" s="374"/>
      <c r="G221" s="374"/>
      <c r="H221" s="374"/>
      <c r="I221" s="374"/>
      <c r="J221" s="374"/>
      <c r="K221" s="374"/>
      <c r="L221" s="374"/>
      <c r="M221" s="374"/>
      <c r="N221" s="374"/>
    </row>
    <row r="222" spans="3:14">
      <c r="C222" s="324"/>
      <c r="D222" s="324"/>
      <c r="E222" s="325" t="s">
        <v>86</v>
      </c>
      <c r="F222" s="325"/>
      <c r="G222" s="325"/>
      <c r="H222" s="325"/>
      <c r="I222" s="325" t="s">
        <v>87</v>
      </c>
      <c r="J222" s="325"/>
      <c r="K222" s="325"/>
      <c r="L222" s="325" t="s">
        <v>39</v>
      </c>
      <c r="M222" s="325"/>
      <c r="N222" s="325"/>
    </row>
    <row r="223" spans="3:14">
      <c r="C223" s="295" t="s">
        <v>40</v>
      </c>
      <c r="D223" s="295"/>
      <c r="E223" s="317"/>
      <c r="F223" s="317"/>
      <c r="G223" s="317"/>
      <c r="H223" s="317"/>
      <c r="I223" s="317"/>
      <c r="J223" s="317"/>
      <c r="K223" s="317"/>
      <c r="L223" s="317"/>
      <c r="M223" s="317"/>
      <c r="N223" s="317"/>
    </row>
    <row r="224" spans="3:14">
      <c r="C224" s="295" t="s">
        <v>41</v>
      </c>
      <c r="D224" s="295"/>
      <c r="E224" s="317"/>
      <c r="F224" s="317"/>
      <c r="G224" s="317"/>
      <c r="H224" s="317"/>
      <c r="I224" s="317"/>
      <c r="J224" s="317"/>
      <c r="K224" s="317"/>
      <c r="L224" s="317"/>
      <c r="M224" s="317"/>
      <c r="N224" s="317"/>
    </row>
    <row r="225" spans="3:14">
      <c r="C225" s="295" t="s">
        <v>42</v>
      </c>
      <c r="D225" s="295"/>
      <c r="E225" s="317"/>
      <c r="F225" s="317"/>
      <c r="G225" s="317"/>
      <c r="H225" s="317"/>
      <c r="I225" s="317"/>
      <c r="J225" s="317"/>
      <c r="K225" s="317"/>
      <c r="L225" s="317"/>
      <c r="M225" s="317"/>
      <c r="N225" s="317"/>
    </row>
    <row r="226" spans="3:14">
      <c r="C226" s="295" t="s">
        <v>43</v>
      </c>
      <c r="D226" s="295"/>
      <c r="E226" s="315"/>
      <c r="F226" s="316"/>
      <c r="G226" s="316"/>
      <c r="H226" s="316"/>
      <c r="I226" s="317"/>
      <c r="J226" s="317"/>
      <c r="K226" s="317"/>
      <c r="L226" s="317"/>
      <c r="M226" s="317"/>
      <c r="N226" s="317"/>
    </row>
  </sheetData>
  <mergeCells count="164">
    <mergeCell ref="C7:D7"/>
    <mergeCell ref="C8:D8"/>
    <mergeCell ref="C9:D9"/>
    <mergeCell ref="C10:D10"/>
    <mergeCell ref="C11:N11"/>
    <mergeCell ref="C13:N13"/>
    <mergeCell ref="D14:H14"/>
    <mergeCell ref="I14:N14"/>
    <mergeCell ref="J15:L15"/>
    <mergeCell ref="E15:E16"/>
    <mergeCell ref="F15:F16"/>
    <mergeCell ref="G15:G16"/>
    <mergeCell ref="H15:H16"/>
    <mergeCell ref="I15:I16"/>
    <mergeCell ref="M15:M16"/>
    <mergeCell ref="N15:N16"/>
    <mergeCell ref="C57:N57"/>
    <mergeCell ref="C58:D58"/>
    <mergeCell ref="E58:H58"/>
    <mergeCell ref="I58:K58"/>
    <mergeCell ref="L58:N58"/>
    <mergeCell ref="C59:D59"/>
    <mergeCell ref="E59:H59"/>
    <mergeCell ref="I59:K59"/>
    <mergeCell ref="L59:N59"/>
    <mergeCell ref="C60:D60"/>
    <mergeCell ref="E60:H60"/>
    <mergeCell ref="I60:K60"/>
    <mergeCell ref="L60:N60"/>
    <mergeCell ref="C61:D61"/>
    <mergeCell ref="E61:H61"/>
    <mergeCell ref="I61:K61"/>
    <mergeCell ref="L61:N61"/>
    <mergeCell ref="C62:D62"/>
    <mergeCell ref="E62:H62"/>
    <mergeCell ref="I62:K62"/>
    <mergeCell ref="L62:N62"/>
    <mergeCell ref="C68:D68"/>
    <mergeCell ref="C69:D69"/>
    <mergeCell ref="C70:D70"/>
    <mergeCell ref="C71:D71"/>
    <mergeCell ref="C72:N72"/>
    <mergeCell ref="C74:N74"/>
    <mergeCell ref="D75:H75"/>
    <mergeCell ref="I75:N75"/>
    <mergeCell ref="J76:L76"/>
    <mergeCell ref="E76:E77"/>
    <mergeCell ref="F76:F77"/>
    <mergeCell ref="G76:G77"/>
    <mergeCell ref="H76:H77"/>
    <mergeCell ref="I76:I77"/>
    <mergeCell ref="M76:M77"/>
    <mergeCell ref="N76:N77"/>
    <mergeCell ref="C107:N107"/>
    <mergeCell ref="C108:D108"/>
    <mergeCell ref="E108:H108"/>
    <mergeCell ref="I108:K108"/>
    <mergeCell ref="L108:N108"/>
    <mergeCell ref="C109:D109"/>
    <mergeCell ref="E109:H109"/>
    <mergeCell ref="I109:K109"/>
    <mergeCell ref="L109:N109"/>
    <mergeCell ref="C110:D110"/>
    <mergeCell ref="E110:H110"/>
    <mergeCell ref="I110:K110"/>
    <mergeCell ref="L110:N110"/>
    <mergeCell ref="C111:D111"/>
    <mergeCell ref="E111:H111"/>
    <mergeCell ref="I111:K111"/>
    <mergeCell ref="L111:N111"/>
    <mergeCell ref="C112:D112"/>
    <mergeCell ref="E112:H112"/>
    <mergeCell ref="I112:K112"/>
    <mergeCell ref="L112:N112"/>
    <mergeCell ref="C119:D119"/>
    <mergeCell ref="C120:D120"/>
    <mergeCell ref="C121:D121"/>
    <mergeCell ref="C122:D122"/>
    <mergeCell ref="C123:N123"/>
    <mergeCell ref="C125:N125"/>
    <mergeCell ref="D126:H126"/>
    <mergeCell ref="I126:N126"/>
    <mergeCell ref="J127:L127"/>
    <mergeCell ref="E127:E128"/>
    <mergeCell ref="F127:F128"/>
    <mergeCell ref="G127:G128"/>
    <mergeCell ref="H127:H128"/>
    <mergeCell ref="I127:I128"/>
    <mergeCell ref="M127:M128"/>
    <mergeCell ref="N127:N128"/>
    <mergeCell ref="C160:N160"/>
    <mergeCell ref="C161:D161"/>
    <mergeCell ref="E161:H161"/>
    <mergeCell ref="I161:K161"/>
    <mergeCell ref="L161:N161"/>
    <mergeCell ref="C162:D162"/>
    <mergeCell ref="E162:H162"/>
    <mergeCell ref="I162:K162"/>
    <mergeCell ref="L162:N162"/>
    <mergeCell ref="J179:L179"/>
    <mergeCell ref="E179:E180"/>
    <mergeCell ref="F179:F180"/>
    <mergeCell ref="G179:G180"/>
    <mergeCell ref="H179:H180"/>
    <mergeCell ref="I179:I180"/>
    <mergeCell ref="M179:M180"/>
    <mergeCell ref="N179:N180"/>
    <mergeCell ref="C163:D163"/>
    <mergeCell ref="E163:H163"/>
    <mergeCell ref="I163:K163"/>
    <mergeCell ref="L163:N163"/>
    <mergeCell ref="C164:D164"/>
    <mergeCell ref="E164:H164"/>
    <mergeCell ref="I164:K164"/>
    <mergeCell ref="L164:N164"/>
    <mergeCell ref="C165:D165"/>
    <mergeCell ref="E165:H165"/>
    <mergeCell ref="I165:K165"/>
    <mergeCell ref="L165:N165"/>
    <mergeCell ref="C221:N221"/>
    <mergeCell ref="C222:D222"/>
    <mergeCell ref="E222:H222"/>
    <mergeCell ref="I222:K222"/>
    <mergeCell ref="L222:N222"/>
    <mergeCell ref="C223:D223"/>
    <mergeCell ref="E223:H223"/>
    <mergeCell ref="I223:K223"/>
    <mergeCell ref="L223:N223"/>
    <mergeCell ref="C224:D224"/>
    <mergeCell ref="E224:H224"/>
    <mergeCell ref="I224:K224"/>
    <mergeCell ref="L224:N224"/>
    <mergeCell ref="C225:D225"/>
    <mergeCell ref="E225:H225"/>
    <mergeCell ref="I225:K225"/>
    <mergeCell ref="L225:N225"/>
    <mergeCell ref="C226:D226"/>
    <mergeCell ref="E226:H226"/>
    <mergeCell ref="I226:K226"/>
    <mergeCell ref="L226:N226"/>
    <mergeCell ref="C3:C6"/>
    <mergeCell ref="C15:C16"/>
    <mergeCell ref="C64:C67"/>
    <mergeCell ref="C76:C77"/>
    <mergeCell ref="C115:C118"/>
    <mergeCell ref="C127:C128"/>
    <mergeCell ref="C167:C170"/>
    <mergeCell ref="C179:C180"/>
    <mergeCell ref="D15:D16"/>
    <mergeCell ref="D76:D77"/>
    <mergeCell ref="D127:D128"/>
    <mergeCell ref="D179:D180"/>
    <mergeCell ref="D3:K6"/>
    <mergeCell ref="D115:K118"/>
    <mergeCell ref="D64:K67"/>
    <mergeCell ref="D167:K170"/>
    <mergeCell ref="C171:D171"/>
    <mergeCell ref="C172:D172"/>
    <mergeCell ref="C173:D173"/>
    <mergeCell ref="C174:D174"/>
    <mergeCell ref="C175:N175"/>
    <mergeCell ref="C177:N177"/>
    <mergeCell ref="D178:H178"/>
    <mergeCell ref="I178:N178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1"/>
  <sheetViews>
    <sheetView view="pageBreakPreview" topLeftCell="A4" zoomScale="115" zoomScaleNormal="115" workbookViewId="0">
      <selection activeCell="G20" sqref="G20:I20"/>
    </sheetView>
  </sheetViews>
  <sheetFormatPr defaultColWidth="12.28515625" defaultRowHeight="15"/>
  <cols>
    <col min="1" max="1" width="13.42578125" customWidth="1"/>
    <col min="7" max="7" width="24.7109375" customWidth="1"/>
    <col min="8" max="9" width="20.85546875" customWidth="1"/>
    <col min="10" max="10" width="10.85546875" customWidth="1"/>
    <col min="11" max="11" width="11.85546875" customWidth="1"/>
    <col min="12" max="12" width="11.28515625" customWidth="1"/>
  </cols>
  <sheetData>
    <row r="1" spans="1:14" ht="15" customHeight="1">
      <c r="A1" s="206"/>
      <c r="B1" s="211" t="s">
        <v>44</v>
      </c>
      <c r="C1" s="212"/>
      <c r="D1" s="212"/>
      <c r="E1" s="212"/>
      <c r="F1" s="212"/>
      <c r="G1" s="212"/>
      <c r="H1" s="213"/>
      <c r="I1" s="2"/>
      <c r="J1" s="20"/>
      <c r="K1" s="20"/>
      <c r="L1" s="21"/>
    </row>
    <row r="2" spans="1:14" ht="15" customHeight="1">
      <c r="A2" s="207"/>
      <c r="B2" s="214"/>
      <c r="C2" s="215"/>
      <c r="D2" s="215"/>
      <c r="E2" s="215"/>
      <c r="F2" s="215"/>
      <c r="G2" s="215"/>
      <c r="H2" s="216"/>
      <c r="I2" s="4"/>
      <c r="L2" s="22"/>
    </row>
    <row r="3" spans="1:14" ht="15" customHeight="1">
      <c r="A3" s="207"/>
      <c r="B3" s="214"/>
      <c r="C3" s="215"/>
      <c r="D3" s="215"/>
      <c r="E3" s="215"/>
      <c r="F3" s="215"/>
      <c r="G3" s="215"/>
      <c r="H3" s="216"/>
      <c r="I3" s="4"/>
      <c r="L3" s="22"/>
    </row>
    <row r="4" spans="1:14" ht="15.75" customHeight="1">
      <c r="A4" s="207"/>
      <c r="B4" s="214"/>
      <c r="C4" s="215"/>
      <c r="D4" s="215"/>
      <c r="E4" s="215"/>
      <c r="F4" s="215"/>
      <c r="G4" s="215"/>
      <c r="H4" s="216"/>
      <c r="I4" s="4"/>
      <c r="L4" s="22"/>
    </row>
    <row r="5" spans="1:14" ht="28.5" customHeight="1">
      <c r="A5" s="223" t="s">
        <v>45</v>
      </c>
      <c r="B5" s="224"/>
      <c r="C5" s="7" t="s">
        <v>46</v>
      </c>
      <c r="D5" s="8"/>
      <c r="E5" s="8"/>
      <c r="F5" s="8"/>
      <c r="G5" s="8"/>
      <c r="H5" s="8"/>
      <c r="I5" s="8"/>
      <c r="J5" s="8"/>
      <c r="K5" s="8"/>
      <c r="L5" s="23"/>
      <c r="N5" t="s">
        <v>47</v>
      </c>
    </row>
    <row r="6" spans="1:14" ht="18" customHeight="1">
      <c r="A6" s="223" t="s">
        <v>48</v>
      </c>
      <c r="B6" s="224"/>
      <c r="C6" s="7" t="s">
        <v>49</v>
      </c>
      <c r="D6" s="8"/>
      <c r="E6" s="8"/>
      <c r="F6" s="8"/>
      <c r="G6" s="8"/>
      <c r="H6" s="8"/>
      <c r="I6" s="8"/>
      <c r="J6" s="8"/>
      <c r="K6" s="8"/>
      <c r="L6" s="23"/>
    </row>
    <row r="7" spans="1:14" ht="18" customHeight="1">
      <c r="A7" s="225" t="s">
        <v>50</v>
      </c>
      <c r="B7" s="226"/>
      <c r="C7" s="7" t="s">
        <v>51</v>
      </c>
      <c r="D7" s="8"/>
      <c r="E7" s="8"/>
      <c r="F7" s="8"/>
      <c r="G7" s="8"/>
      <c r="H7" s="8"/>
      <c r="I7" s="8"/>
      <c r="J7" s="8"/>
      <c r="K7" s="8"/>
      <c r="L7" s="23"/>
    </row>
    <row r="8" spans="1:14" ht="18" customHeight="1">
      <c r="A8" s="223" t="s">
        <v>52</v>
      </c>
      <c r="B8" s="224"/>
      <c r="C8" s="7" t="s">
        <v>53</v>
      </c>
      <c r="D8" s="8"/>
      <c r="E8" s="8"/>
      <c r="F8" s="8"/>
      <c r="G8" s="8"/>
      <c r="H8" s="8"/>
      <c r="I8" s="8"/>
      <c r="J8" s="8"/>
      <c r="K8" s="8"/>
      <c r="L8" s="23"/>
    </row>
    <row r="9" spans="1:14" ht="15.75" customHeight="1">
      <c r="A9" s="227" t="s">
        <v>54</v>
      </c>
      <c r="B9" s="228"/>
      <c r="C9" s="228"/>
      <c r="D9" s="228"/>
      <c r="E9" s="228"/>
      <c r="F9" s="228"/>
      <c r="G9" s="228"/>
      <c r="H9" s="228"/>
      <c r="I9" s="228"/>
      <c r="J9" s="228"/>
      <c r="K9" s="228"/>
      <c r="L9" s="229"/>
    </row>
    <row r="10" spans="1:14" ht="21.75" customHeight="1">
      <c r="A10" s="11" t="s">
        <v>55</v>
      </c>
      <c r="B10" s="12"/>
      <c r="C10" s="12"/>
      <c r="D10" s="12"/>
      <c r="E10" s="12"/>
      <c r="F10" s="12"/>
      <c r="G10" s="24" t="s">
        <v>56</v>
      </c>
      <c r="H10" s="25"/>
      <c r="I10" s="12"/>
      <c r="J10" s="12"/>
      <c r="K10" s="12"/>
      <c r="L10" s="26"/>
    </row>
    <row r="11" spans="1:14" ht="21.75" customHeight="1">
      <c r="A11" s="217"/>
      <c r="B11" s="218"/>
      <c r="C11" s="218"/>
      <c r="D11" s="218"/>
      <c r="E11" s="218"/>
      <c r="F11" s="218"/>
      <c r="G11" s="218"/>
      <c r="H11" s="218"/>
      <c r="I11" s="218"/>
      <c r="J11" s="218"/>
      <c r="K11" s="218"/>
      <c r="L11" s="219"/>
    </row>
    <row r="12" spans="1:14" ht="22.5" customHeight="1">
      <c r="A12" s="11" t="s">
        <v>57</v>
      </c>
      <c r="B12" s="73"/>
      <c r="C12" s="73"/>
      <c r="D12" s="81"/>
      <c r="E12" s="24"/>
      <c r="F12" s="25"/>
      <c r="G12" s="24" t="s">
        <v>58</v>
      </c>
      <c r="H12" s="82">
        <v>44925</v>
      </c>
      <c r="I12" s="74"/>
      <c r="J12" s="74"/>
      <c r="K12" s="74"/>
      <c r="L12" s="80"/>
    </row>
    <row r="13" spans="1:14" ht="15" customHeight="1">
      <c r="A13" s="208" t="s">
        <v>59</v>
      </c>
      <c r="B13" s="209" t="s">
        <v>60</v>
      </c>
      <c r="C13" s="210" t="s">
        <v>61</v>
      </c>
      <c r="D13" s="210" t="s">
        <v>62</v>
      </c>
      <c r="E13" s="210" t="s">
        <v>63</v>
      </c>
      <c r="F13" s="210" t="s">
        <v>64</v>
      </c>
      <c r="G13" s="243" t="s">
        <v>65</v>
      </c>
      <c r="H13" s="220" t="s">
        <v>66</v>
      </c>
      <c r="I13" s="221"/>
      <c r="J13" s="222"/>
      <c r="K13" s="209" t="s">
        <v>30</v>
      </c>
      <c r="L13" s="244" t="s">
        <v>67</v>
      </c>
    </row>
    <row r="14" spans="1:14" ht="45">
      <c r="A14" s="208"/>
      <c r="B14" s="209"/>
      <c r="C14" s="210"/>
      <c r="D14" s="210"/>
      <c r="E14" s="210"/>
      <c r="F14" s="210"/>
      <c r="G14" s="243"/>
      <c r="H14" s="16" t="s">
        <v>68</v>
      </c>
      <c r="I14" s="62" t="s">
        <v>69</v>
      </c>
      <c r="J14" s="16" t="s">
        <v>70</v>
      </c>
      <c r="K14" s="209"/>
      <c r="L14" s="244"/>
    </row>
    <row r="15" spans="1:14" ht="35.25" customHeight="1">
      <c r="A15" s="132">
        <v>1</v>
      </c>
      <c r="B15" s="33" t="s">
        <v>71</v>
      </c>
      <c r="C15" s="33">
        <v>126.3</v>
      </c>
      <c r="D15" s="33" t="s">
        <v>72</v>
      </c>
      <c r="E15" s="33" t="s">
        <v>73</v>
      </c>
      <c r="F15" s="33" t="s">
        <v>74</v>
      </c>
      <c r="G15" s="33" t="s">
        <v>75</v>
      </c>
      <c r="H15" s="33" t="s">
        <v>76</v>
      </c>
      <c r="I15" s="134" t="s">
        <v>77</v>
      </c>
      <c r="J15" s="85" t="s">
        <v>78</v>
      </c>
      <c r="K15" s="61"/>
      <c r="L15" s="100"/>
    </row>
    <row r="16" spans="1:14" ht="35.25" customHeight="1">
      <c r="A16" s="132">
        <f>A15+1</f>
        <v>2</v>
      </c>
      <c r="B16" s="33" t="s">
        <v>71</v>
      </c>
      <c r="C16" s="33">
        <v>126.3</v>
      </c>
      <c r="D16" s="33" t="s">
        <v>73</v>
      </c>
      <c r="E16" s="33" t="s">
        <v>79</v>
      </c>
      <c r="F16" s="33" t="s">
        <v>80</v>
      </c>
      <c r="G16" s="33" t="s">
        <v>75</v>
      </c>
      <c r="H16" s="33" t="s">
        <v>76</v>
      </c>
      <c r="I16" s="134" t="s">
        <v>77</v>
      </c>
      <c r="J16" s="85" t="s">
        <v>78</v>
      </c>
      <c r="K16" s="61"/>
      <c r="L16" s="100"/>
    </row>
    <row r="17" spans="1:12" ht="35.25" customHeight="1">
      <c r="A17" s="132">
        <f t="shared" ref="A17:A18" si="0">A16+1</f>
        <v>3</v>
      </c>
      <c r="B17" s="33" t="s">
        <v>71</v>
      </c>
      <c r="C17" s="33">
        <v>126.3</v>
      </c>
      <c r="D17" s="33" t="s">
        <v>79</v>
      </c>
      <c r="E17" s="33" t="s">
        <v>81</v>
      </c>
      <c r="F17" s="33" t="s">
        <v>82</v>
      </c>
      <c r="G17" s="33" t="s">
        <v>75</v>
      </c>
      <c r="H17" s="33" t="s">
        <v>76</v>
      </c>
      <c r="I17" s="134" t="s">
        <v>77</v>
      </c>
      <c r="J17" s="85" t="s">
        <v>78</v>
      </c>
      <c r="K17" s="61"/>
      <c r="L17" s="100"/>
    </row>
    <row r="18" spans="1:12" ht="35.25" customHeight="1">
      <c r="A18" s="132">
        <f t="shared" si="0"/>
        <v>4</v>
      </c>
      <c r="B18" s="33" t="s">
        <v>71</v>
      </c>
      <c r="C18" s="33">
        <v>126.3</v>
      </c>
      <c r="D18" s="33" t="s">
        <v>83</v>
      </c>
      <c r="E18" s="33" t="s">
        <v>84</v>
      </c>
      <c r="F18" s="33" t="s">
        <v>85</v>
      </c>
      <c r="G18" s="33" t="s">
        <v>75</v>
      </c>
      <c r="H18" s="33" t="s">
        <v>76</v>
      </c>
      <c r="I18" s="134" t="s">
        <v>77</v>
      </c>
      <c r="J18" s="85" t="s">
        <v>78</v>
      </c>
      <c r="K18" s="61"/>
      <c r="L18" s="100"/>
    </row>
    <row r="19" spans="1:12" ht="23.25" customHeight="1">
      <c r="A19" s="238"/>
      <c r="B19" s="222"/>
      <c r="C19" s="239" t="s">
        <v>86</v>
      </c>
      <c r="D19" s="240"/>
      <c r="E19" s="240"/>
      <c r="F19" s="241"/>
      <c r="G19" s="239" t="s">
        <v>87</v>
      </c>
      <c r="H19" s="240"/>
      <c r="I19" s="241"/>
      <c r="J19" s="239" t="s">
        <v>39</v>
      </c>
      <c r="K19" s="240"/>
      <c r="L19" s="242"/>
    </row>
    <row r="20" spans="1:12" ht="42.75" customHeight="1">
      <c r="A20" s="230" t="s">
        <v>40</v>
      </c>
      <c r="B20" s="189"/>
      <c r="C20" s="231" t="s">
        <v>88</v>
      </c>
      <c r="D20" s="232"/>
      <c r="E20" s="232"/>
      <c r="F20" s="233"/>
      <c r="G20" s="234" t="s">
        <v>89</v>
      </c>
      <c r="H20" s="235"/>
      <c r="I20" s="236"/>
      <c r="J20" s="234"/>
      <c r="K20" s="235"/>
      <c r="L20" s="237"/>
    </row>
    <row r="21" spans="1:12" ht="46.5" customHeight="1">
      <c r="A21" s="230" t="s">
        <v>42</v>
      </c>
      <c r="B21" s="189"/>
      <c r="C21" s="234"/>
      <c r="D21" s="235"/>
      <c r="E21" s="235"/>
      <c r="F21" s="236"/>
      <c r="G21" s="234"/>
      <c r="H21" s="235"/>
      <c r="I21" s="236"/>
      <c r="J21" s="234"/>
      <c r="K21" s="235"/>
      <c r="L21" s="237"/>
    </row>
  </sheetData>
  <mergeCells count="30">
    <mergeCell ref="A19:B19"/>
    <mergeCell ref="C19:F19"/>
    <mergeCell ref="G19:I19"/>
    <mergeCell ref="J19:L19"/>
    <mergeCell ref="E13:E14"/>
    <mergeCell ref="F13:F14"/>
    <mergeCell ref="G13:G14"/>
    <mergeCell ref="K13:K14"/>
    <mergeCell ref="L13:L14"/>
    <mergeCell ref="A20:B20"/>
    <mergeCell ref="C20:F20"/>
    <mergeCell ref="G20:I20"/>
    <mergeCell ref="J20:L20"/>
    <mergeCell ref="A21:B21"/>
    <mergeCell ref="C21:F21"/>
    <mergeCell ref="G21:I21"/>
    <mergeCell ref="J21:L21"/>
    <mergeCell ref="A1:A4"/>
    <mergeCell ref="A13:A14"/>
    <mergeCell ref="B13:B14"/>
    <mergeCell ref="C13:C14"/>
    <mergeCell ref="D13:D14"/>
    <mergeCell ref="B1:H4"/>
    <mergeCell ref="A11:L11"/>
    <mergeCell ref="H13:J13"/>
    <mergeCell ref="A5:B5"/>
    <mergeCell ref="A6:B6"/>
    <mergeCell ref="A7:B7"/>
    <mergeCell ref="A8:B8"/>
    <mergeCell ref="A9:L9"/>
  </mergeCells>
  <printOptions horizontalCentered="1"/>
  <pageMargins left="0.23622047244094499" right="0.23622047244094499" top="0.35433070866141703" bottom="0.35433070866141703" header="0.31496062992126" footer="0.31496062992126"/>
  <pageSetup paperSize="9" scale="80" orientation="landscape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P446"/>
  <sheetViews>
    <sheetView topLeftCell="A102" zoomScale="85" zoomScaleNormal="85" workbookViewId="0">
      <selection activeCell="B2" sqref="B2:N56"/>
    </sheetView>
  </sheetViews>
  <sheetFormatPr defaultColWidth="9" defaultRowHeight="15"/>
  <cols>
    <col min="9" max="9" width="10.42578125" customWidth="1"/>
  </cols>
  <sheetData>
    <row r="2" spans="3:14">
      <c r="C2" s="206"/>
      <c r="D2" s="211" t="s">
        <v>44</v>
      </c>
      <c r="E2" s="212"/>
      <c r="F2" s="212"/>
      <c r="G2" s="212"/>
      <c r="H2" s="212"/>
      <c r="I2" s="212"/>
      <c r="J2" s="212"/>
      <c r="K2" s="212"/>
      <c r="L2" s="20"/>
      <c r="M2" s="20"/>
      <c r="N2" s="21"/>
    </row>
    <row r="3" spans="3:14">
      <c r="C3" s="207"/>
      <c r="D3" s="214"/>
      <c r="E3" s="215"/>
      <c r="F3" s="215"/>
      <c r="G3" s="215"/>
      <c r="H3" s="215"/>
      <c r="I3" s="215"/>
      <c r="J3" s="215"/>
      <c r="K3" s="215"/>
      <c r="N3" s="22"/>
    </row>
    <row r="4" spans="3:14">
      <c r="C4" s="207"/>
      <c r="D4" s="214"/>
      <c r="E4" s="215"/>
      <c r="F4" s="215"/>
      <c r="G4" s="215"/>
      <c r="H4" s="215"/>
      <c r="I4" s="215"/>
      <c r="J4" s="215"/>
      <c r="K4" s="215"/>
      <c r="N4" s="22"/>
    </row>
    <row r="5" spans="3:14">
      <c r="C5" s="207"/>
      <c r="D5" s="289"/>
      <c r="E5" s="290"/>
      <c r="F5" s="290"/>
      <c r="G5" s="290"/>
      <c r="H5" s="290"/>
      <c r="I5" s="290"/>
      <c r="J5" s="290"/>
      <c r="K5" s="290"/>
      <c r="N5" s="22"/>
    </row>
    <row r="6" spans="3:14" ht="16.5">
      <c r="C6" s="223" t="s">
        <v>45</v>
      </c>
      <c r="D6" s="224"/>
      <c r="E6" s="7" t="s">
        <v>46</v>
      </c>
      <c r="F6" s="8"/>
      <c r="G6" s="8"/>
      <c r="H6" s="8"/>
      <c r="I6" s="8"/>
      <c r="J6" s="8"/>
      <c r="K6" s="8"/>
      <c r="L6" s="8"/>
      <c r="M6" s="8"/>
      <c r="N6" s="23"/>
    </row>
    <row r="7" spans="3:14" ht="16.5">
      <c r="C7" s="223" t="s">
        <v>48</v>
      </c>
      <c r="D7" s="224"/>
      <c r="E7" s="7" t="s">
        <v>49</v>
      </c>
      <c r="F7" s="8"/>
      <c r="G7" s="8"/>
      <c r="H7" s="8"/>
      <c r="I7" s="8"/>
      <c r="J7" s="8"/>
      <c r="K7" s="8"/>
      <c r="L7" s="8"/>
      <c r="M7" s="8"/>
      <c r="N7" s="23"/>
    </row>
    <row r="8" spans="3:14" ht="16.5">
      <c r="C8" s="225" t="s">
        <v>50</v>
      </c>
      <c r="D8" s="226"/>
      <c r="E8" s="7" t="s">
        <v>51</v>
      </c>
      <c r="F8" s="8"/>
      <c r="G8" s="8"/>
      <c r="H8" s="8"/>
      <c r="I8" s="8"/>
      <c r="J8" s="8"/>
      <c r="K8" s="8"/>
      <c r="L8" s="8"/>
      <c r="M8" s="8"/>
      <c r="N8" s="23"/>
    </row>
    <row r="9" spans="3:14" ht="16.5">
      <c r="C9" s="223" t="s">
        <v>52</v>
      </c>
      <c r="D9" s="224"/>
      <c r="E9" s="7" t="s">
        <v>53</v>
      </c>
      <c r="F9" s="8"/>
      <c r="G9" s="8"/>
      <c r="H9" s="8"/>
      <c r="I9" s="8"/>
      <c r="J9" s="8"/>
      <c r="K9" s="8"/>
      <c r="L9" s="8"/>
      <c r="M9" s="8"/>
      <c r="N9" s="23"/>
    </row>
    <row r="10" spans="3:14" ht="15.75">
      <c r="C10" s="227" t="s">
        <v>1120</v>
      </c>
      <c r="D10" s="228"/>
      <c r="E10" s="228"/>
      <c r="F10" s="228"/>
      <c r="G10" s="228"/>
      <c r="H10" s="228"/>
      <c r="I10" s="228"/>
      <c r="J10" s="228"/>
      <c r="K10" s="228"/>
      <c r="L10" s="228"/>
      <c r="M10" s="228"/>
      <c r="N10" s="229"/>
    </row>
    <row r="11" spans="3:14" ht="15.75">
      <c r="C11" s="11" t="s">
        <v>55</v>
      </c>
      <c r="E11" s="12"/>
      <c r="F11" s="12"/>
      <c r="G11" s="12"/>
      <c r="H11" s="12"/>
      <c r="I11" s="24" t="s">
        <v>56</v>
      </c>
      <c r="J11" s="25"/>
      <c r="K11" s="12"/>
      <c r="L11" s="12"/>
      <c r="M11" s="12"/>
      <c r="N11" s="26"/>
    </row>
    <row r="12" spans="3:14">
      <c r="C12" s="217"/>
      <c r="D12" s="218"/>
      <c r="E12" s="218"/>
      <c r="F12" s="218"/>
      <c r="G12" s="218"/>
      <c r="H12" s="218"/>
      <c r="I12" s="218"/>
      <c r="J12" s="218"/>
      <c r="K12" s="218"/>
      <c r="L12" s="218"/>
      <c r="M12" s="218"/>
      <c r="N12" s="219"/>
    </row>
    <row r="13" spans="3:14" ht="15.75">
      <c r="C13" s="15" t="s">
        <v>103</v>
      </c>
      <c r="D13" s="355"/>
      <c r="E13" s="356"/>
      <c r="F13" s="356"/>
      <c r="G13" s="356"/>
      <c r="H13" s="357"/>
      <c r="I13" s="368" t="s">
        <v>542</v>
      </c>
      <c r="J13" s="369"/>
      <c r="K13" s="369"/>
      <c r="L13" s="369"/>
      <c r="M13" s="369"/>
      <c r="N13" s="370"/>
    </row>
    <row r="14" spans="3:14">
      <c r="C14" s="329" t="s">
        <v>59</v>
      </c>
      <c r="D14" s="209" t="s">
        <v>60</v>
      </c>
      <c r="E14" s="209" t="s">
        <v>659</v>
      </c>
      <c r="F14" s="209" t="s">
        <v>62</v>
      </c>
      <c r="G14" s="209" t="s">
        <v>63</v>
      </c>
      <c r="H14" s="209" t="s">
        <v>64</v>
      </c>
      <c r="I14" s="209" t="s">
        <v>65</v>
      </c>
      <c r="J14" s="342" t="s">
        <v>66</v>
      </c>
      <c r="K14" s="343"/>
      <c r="L14" s="344"/>
      <c r="M14" s="209" t="s">
        <v>30</v>
      </c>
      <c r="N14" s="328" t="s">
        <v>67</v>
      </c>
    </row>
    <row r="15" spans="3:14" ht="60">
      <c r="C15" s="359"/>
      <c r="D15" s="292"/>
      <c r="E15" s="292"/>
      <c r="F15" s="292"/>
      <c r="G15" s="292"/>
      <c r="H15" s="292"/>
      <c r="I15" s="292"/>
      <c r="J15" s="17" t="s">
        <v>68</v>
      </c>
      <c r="K15" s="28" t="s">
        <v>999</v>
      </c>
      <c r="L15" s="17" t="s">
        <v>70</v>
      </c>
      <c r="M15" s="292"/>
      <c r="N15" s="360"/>
    </row>
    <row r="16" spans="3:14">
      <c r="C16" s="18">
        <v>1</v>
      </c>
      <c r="D16" s="18" t="s">
        <v>71</v>
      </c>
      <c r="E16" s="158">
        <v>63</v>
      </c>
      <c r="F16" s="158" t="s">
        <v>667</v>
      </c>
      <c r="G16" s="158" t="s">
        <v>1060</v>
      </c>
      <c r="H16" s="158">
        <v>9</v>
      </c>
      <c r="I16" s="29" t="s">
        <v>276</v>
      </c>
      <c r="J16" s="18">
        <v>1.7</v>
      </c>
      <c r="K16" s="30">
        <v>3.1</v>
      </c>
      <c r="L16" s="18">
        <v>4.8</v>
      </c>
      <c r="M16" s="16"/>
      <c r="N16" s="16"/>
    </row>
    <row r="17" spans="3:14">
      <c r="C17" s="18">
        <f t="shared" ref="C17:C49" si="0">1+C16</f>
        <v>2</v>
      </c>
      <c r="D17" s="18" t="s">
        <v>71</v>
      </c>
      <c r="E17" s="158">
        <v>63</v>
      </c>
      <c r="F17" s="158" t="s">
        <v>667</v>
      </c>
      <c r="G17" s="158" t="s">
        <v>1060</v>
      </c>
      <c r="H17" s="158">
        <f>8.8+189</f>
        <v>197.8</v>
      </c>
      <c r="I17" s="29" t="s">
        <v>276</v>
      </c>
      <c r="J17" s="18">
        <v>1.7</v>
      </c>
      <c r="K17" s="30">
        <v>3.1</v>
      </c>
      <c r="L17" s="18">
        <v>4.8</v>
      </c>
      <c r="M17" s="16"/>
      <c r="N17" s="16"/>
    </row>
    <row r="18" spans="3:14">
      <c r="C18" s="18">
        <f t="shared" si="0"/>
        <v>3</v>
      </c>
      <c r="D18" s="18" t="s">
        <v>71</v>
      </c>
      <c r="E18" s="158">
        <v>63</v>
      </c>
      <c r="F18" s="158" t="s">
        <v>667</v>
      </c>
      <c r="G18" s="158" t="s">
        <v>1060</v>
      </c>
      <c r="H18" s="158">
        <v>4.4000000000000004</v>
      </c>
      <c r="I18" s="29" t="s">
        <v>276</v>
      </c>
      <c r="J18" s="18">
        <v>1.7</v>
      </c>
      <c r="K18" s="30">
        <v>3.1</v>
      </c>
      <c r="L18" s="18">
        <v>4.8</v>
      </c>
      <c r="M18" s="16"/>
      <c r="N18" s="16"/>
    </row>
    <row r="19" spans="3:14">
      <c r="C19" s="18">
        <f t="shared" si="0"/>
        <v>4</v>
      </c>
      <c r="D19" s="18" t="s">
        <v>71</v>
      </c>
      <c r="E19" s="158">
        <v>63</v>
      </c>
      <c r="F19" s="158" t="s">
        <v>1060</v>
      </c>
      <c r="G19" s="158" t="s">
        <v>1121</v>
      </c>
      <c r="H19" s="158">
        <v>300</v>
      </c>
      <c r="I19" s="29" t="s">
        <v>276</v>
      </c>
      <c r="J19" s="18">
        <v>1.7</v>
      </c>
      <c r="K19" s="30">
        <v>3.1</v>
      </c>
      <c r="L19" s="18">
        <v>4.8</v>
      </c>
      <c r="M19" s="16"/>
      <c r="N19" s="16"/>
    </row>
    <row r="20" spans="3:14">
      <c r="C20" s="18">
        <f t="shared" si="0"/>
        <v>5</v>
      </c>
      <c r="D20" s="18" t="s">
        <v>71</v>
      </c>
      <c r="E20" s="158">
        <v>63</v>
      </c>
      <c r="F20" s="158" t="s">
        <v>1121</v>
      </c>
      <c r="G20" s="158" t="s">
        <v>1122</v>
      </c>
      <c r="H20" s="158">
        <v>8.9</v>
      </c>
      <c r="I20" s="29" t="s">
        <v>276</v>
      </c>
      <c r="J20" s="18">
        <v>1.7</v>
      </c>
      <c r="K20" s="30">
        <v>3.1</v>
      </c>
      <c r="L20" s="18">
        <v>4.8</v>
      </c>
      <c r="M20" s="16"/>
      <c r="N20" s="16"/>
    </row>
    <row r="21" spans="3:14">
      <c r="C21" s="18">
        <f t="shared" si="0"/>
        <v>6</v>
      </c>
      <c r="D21" s="18" t="s">
        <v>71</v>
      </c>
      <c r="E21" s="158">
        <v>63</v>
      </c>
      <c r="F21" s="158" t="s">
        <v>1121</v>
      </c>
      <c r="G21" s="158" t="s">
        <v>1122</v>
      </c>
      <c r="H21" s="55">
        <v>10.8</v>
      </c>
      <c r="I21" s="29" t="s">
        <v>276</v>
      </c>
      <c r="J21" s="18">
        <v>1.7</v>
      </c>
      <c r="K21" s="30">
        <v>3.1</v>
      </c>
      <c r="L21" s="18">
        <v>4.8</v>
      </c>
      <c r="M21" s="16"/>
      <c r="N21" s="16"/>
    </row>
    <row r="22" spans="3:14">
      <c r="C22" s="18">
        <f t="shared" si="0"/>
        <v>7</v>
      </c>
      <c r="D22" s="18" t="s">
        <v>71</v>
      </c>
      <c r="E22" s="158">
        <v>63</v>
      </c>
      <c r="F22" s="158" t="s">
        <v>1121</v>
      </c>
      <c r="G22" s="158" t="s">
        <v>1122</v>
      </c>
      <c r="H22" s="158">
        <v>34.6</v>
      </c>
      <c r="I22" s="29" t="s">
        <v>276</v>
      </c>
      <c r="J22" s="18">
        <v>1.7</v>
      </c>
      <c r="K22" s="30">
        <v>3.1</v>
      </c>
      <c r="L22" s="18">
        <v>4.8</v>
      </c>
      <c r="M22" s="16"/>
      <c r="N22" s="16"/>
    </row>
    <row r="23" spans="3:14">
      <c r="C23" s="18">
        <f t="shared" si="0"/>
        <v>8</v>
      </c>
      <c r="D23" s="18" t="s">
        <v>71</v>
      </c>
      <c r="E23" s="158">
        <v>63</v>
      </c>
      <c r="F23" s="158" t="s">
        <v>1122</v>
      </c>
      <c r="G23" s="158" t="s">
        <v>1123</v>
      </c>
      <c r="H23" s="158">
        <v>102</v>
      </c>
      <c r="I23" s="29" t="s">
        <v>276</v>
      </c>
      <c r="J23" s="18">
        <v>1.7</v>
      </c>
      <c r="K23" s="30">
        <v>3.1</v>
      </c>
      <c r="L23" s="18">
        <v>4.8</v>
      </c>
      <c r="M23" s="16"/>
      <c r="N23" s="16"/>
    </row>
    <row r="24" spans="3:14">
      <c r="C24" s="18">
        <f t="shared" si="0"/>
        <v>9</v>
      </c>
      <c r="D24" s="18" t="s">
        <v>71</v>
      </c>
      <c r="E24" s="158">
        <v>63</v>
      </c>
      <c r="F24" s="158" t="s">
        <v>769</v>
      </c>
      <c r="G24" s="158" t="s">
        <v>237</v>
      </c>
      <c r="H24" s="158">
        <v>195.5</v>
      </c>
      <c r="I24" s="29" t="s">
        <v>276</v>
      </c>
      <c r="J24" s="18">
        <v>1.7</v>
      </c>
      <c r="K24" s="30">
        <v>3.1</v>
      </c>
      <c r="L24" s="18">
        <v>4.8</v>
      </c>
      <c r="M24" s="16"/>
      <c r="N24" s="16"/>
    </row>
    <row r="25" spans="3:14">
      <c r="C25" s="18">
        <f t="shared" si="0"/>
        <v>10</v>
      </c>
      <c r="D25" s="18" t="s">
        <v>71</v>
      </c>
      <c r="E25" s="158">
        <v>63</v>
      </c>
      <c r="F25" s="158" t="s">
        <v>1124</v>
      </c>
      <c r="G25" s="158" t="s">
        <v>1125</v>
      </c>
      <c r="H25" s="158">
        <v>19.100000000000001</v>
      </c>
      <c r="I25" s="29" t="s">
        <v>276</v>
      </c>
      <c r="J25" s="18">
        <v>1.7</v>
      </c>
      <c r="K25" s="30">
        <v>3.1</v>
      </c>
      <c r="L25" s="18">
        <v>4.8</v>
      </c>
      <c r="M25" s="16"/>
      <c r="N25" s="16"/>
    </row>
    <row r="26" spans="3:14">
      <c r="C26" s="18">
        <f t="shared" si="0"/>
        <v>11</v>
      </c>
      <c r="D26" s="18" t="s">
        <v>71</v>
      </c>
      <c r="E26" s="158">
        <v>63</v>
      </c>
      <c r="F26" s="158" t="s">
        <v>1124</v>
      </c>
      <c r="G26" s="158" t="s">
        <v>235</v>
      </c>
      <c r="H26" s="158">
        <v>57.1</v>
      </c>
      <c r="I26" s="29" t="s">
        <v>276</v>
      </c>
      <c r="J26" s="18">
        <v>1.7</v>
      </c>
      <c r="K26" s="30">
        <v>3.1</v>
      </c>
      <c r="L26" s="18">
        <v>4.8</v>
      </c>
      <c r="M26" s="16"/>
      <c r="N26" s="16"/>
    </row>
    <row r="27" spans="3:14">
      <c r="C27" s="18">
        <f t="shared" si="0"/>
        <v>12</v>
      </c>
      <c r="D27" s="18" t="s">
        <v>71</v>
      </c>
      <c r="E27" s="158">
        <v>63</v>
      </c>
      <c r="F27" s="158" t="s">
        <v>235</v>
      </c>
      <c r="G27" s="158" t="s">
        <v>505</v>
      </c>
      <c r="H27" s="158">
        <v>32.700000000000003</v>
      </c>
      <c r="I27" s="29" t="s">
        <v>276</v>
      </c>
      <c r="J27" s="18">
        <v>1.7</v>
      </c>
      <c r="K27" s="30">
        <v>3.1</v>
      </c>
      <c r="L27" s="18">
        <v>4.8</v>
      </c>
      <c r="M27" s="16"/>
      <c r="N27" s="16"/>
    </row>
    <row r="28" spans="3:14">
      <c r="C28" s="18">
        <f t="shared" si="0"/>
        <v>13</v>
      </c>
      <c r="D28" s="18" t="s">
        <v>71</v>
      </c>
      <c r="E28" s="158">
        <v>63</v>
      </c>
      <c r="F28" s="158" t="s">
        <v>235</v>
      </c>
      <c r="G28" s="158" t="s">
        <v>505</v>
      </c>
      <c r="H28" s="55">
        <v>57</v>
      </c>
      <c r="I28" s="29" t="s">
        <v>276</v>
      </c>
      <c r="J28" s="18">
        <v>1.7</v>
      </c>
      <c r="K28" s="30">
        <v>3.1</v>
      </c>
      <c r="L28" s="18">
        <v>4.8</v>
      </c>
      <c r="M28" s="16"/>
      <c r="N28" s="16"/>
    </row>
    <row r="29" spans="3:14">
      <c r="C29" s="18">
        <f t="shared" si="0"/>
        <v>14</v>
      </c>
      <c r="D29" s="18" t="s">
        <v>71</v>
      </c>
      <c r="E29" s="158">
        <v>63</v>
      </c>
      <c r="F29" s="158" t="s">
        <v>235</v>
      </c>
      <c r="G29" s="158" t="s">
        <v>505</v>
      </c>
      <c r="H29" s="158">
        <v>38.1</v>
      </c>
      <c r="I29" s="29" t="s">
        <v>276</v>
      </c>
      <c r="J29" s="18">
        <v>1.7</v>
      </c>
      <c r="K29" s="30">
        <v>3.1</v>
      </c>
      <c r="L29" s="18">
        <v>4.8</v>
      </c>
      <c r="M29" s="16"/>
      <c r="N29" s="16"/>
    </row>
    <row r="30" spans="3:14">
      <c r="C30" s="18">
        <f t="shared" si="0"/>
        <v>15</v>
      </c>
      <c r="D30" s="18" t="s">
        <v>71</v>
      </c>
      <c r="E30" s="158">
        <v>63</v>
      </c>
      <c r="F30" s="158" t="s">
        <v>235</v>
      </c>
      <c r="G30" s="158" t="s">
        <v>382</v>
      </c>
      <c r="H30" s="158">
        <v>40.799999999999997</v>
      </c>
      <c r="I30" s="29" t="s">
        <v>276</v>
      </c>
      <c r="J30" s="18">
        <v>1.7</v>
      </c>
      <c r="K30" s="30">
        <v>3.1</v>
      </c>
      <c r="L30" s="18">
        <v>4.8</v>
      </c>
      <c r="M30" s="16"/>
      <c r="N30" s="16"/>
    </row>
    <row r="31" spans="3:14">
      <c r="C31" s="18">
        <f t="shared" si="0"/>
        <v>16</v>
      </c>
      <c r="D31" s="18" t="s">
        <v>71</v>
      </c>
      <c r="E31" s="158">
        <v>63</v>
      </c>
      <c r="F31" s="158" t="s">
        <v>382</v>
      </c>
      <c r="G31" s="158" t="s">
        <v>214</v>
      </c>
      <c r="H31" s="157">
        <v>5.7</v>
      </c>
      <c r="I31" s="29" t="s">
        <v>276</v>
      </c>
      <c r="J31" s="18">
        <v>1.7</v>
      </c>
      <c r="K31" s="30">
        <v>3.1</v>
      </c>
      <c r="L31" s="18">
        <v>4.8</v>
      </c>
      <c r="M31" s="16"/>
      <c r="N31" s="16"/>
    </row>
    <row r="32" spans="3:14">
      <c r="C32" s="18">
        <f t="shared" si="0"/>
        <v>17</v>
      </c>
      <c r="D32" s="18" t="s">
        <v>71</v>
      </c>
      <c r="E32" s="158">
        <v>63</v>
      </c>
      <c r="F32" s="158" t="s">
        <v>382</v>
      </c>
      <c r="G32" s="158" t="s">
        <v>1126</v>
      </c>
      <c r="H32" s="158">
        <v>30.1</v>
      </c>
      <c r="I32" s="29" t="s">
        <v>276</v>
      </c>
      <c r="J32" s="18">
        <v>1.7</v>
      </c>
      <c r="K32" s="30">
        <v>3.1</v>
      </c>
      <c r="L32" s="18">
        <v>4.8</v>
      </c>
      <c r="M32" s="16"/>
      <c r="N32" s="16"/>
    </row>
    <row r="33" spans="3:14">
      <c r="C33" s="18">
        <f t="shared" si="0"/>
        <v>18</v>
      </c>
      <c r="D33" s="18" t="s">
        <v>71</v>
      </c>
      <c r="E33" s="158">
        <v>63</v>
      </c>
      <c r="F33" s="158" t="s">
        <v>1126</v>
      </c>
      <c r="G33" s="158" t="s">
        <v>309</v>
      </c>
      <c r="H33" s="158">
        <v>3</v>
      </c>
      <c r="I33" s="29" t="s">
        <v>276</v>
      </c>
      <c r="J33" s="18">
        <v>1.7</v>
      </c>
      <c r="K33" s="30">
        <v>3.1</v>
      </c>
      <c r="L33" s="18">
        <v>4.8</v>
      </c>
      <c r="M33" s="16"/>
      <c r="N33" s="16"/>
    </row>
    <row r="34" spans="3:14">
      <c r="C34" s="18">
        <f t="shared" si="0"/>
        <v>19</v>
      </c>
      <c r="D34" s="18" t="s">
        <v>71</v>
      </c>
      <c r="E34" s="158">
        <v>63</v>
      </c>
      <c r="F34" s="158" t="s">
        <v>1126</v>
      </c>
      <c r="G34" s="158" t="s">
        <v>309</v>
      </c>
      <c r="H34" s="158">
        <v>12.1</v>
      </c>
      <c r="I34" s="29" t="s">
        <v>276</v>
      </c>
      <c r="J34" s="18">
        <v>1.7</v>
      </c>
      <c r="K34" s="30">
        <v>3.1</v>
      </c>
      <c r="L34" s="18">
        <v>4.8</v>
      </c>
      <c r="M34" s="16"/>
      <c r="N34" s="16"/>
    </row>
    <row r="35" spans="3:14">
      <c r="C35" s="18">
        <f t="shared" si="0"/>
        <v>20</v>
      </c>
      <c r="D35" s="18" t="s">
        <v>71</v>
      </c>
      <c r="E35" s="158">
        <v>63</v>
      </c>
      <c r="F35" s="158" t="s">
        <v>1126</v>
      </c>
      <c r="G35" s="158" t="s">
        <v>300</v>
      </c>
      <c r="H35" s="158">
        <v>42.1</v>
      </c>
      <c r="I35" s="29" t="s">
        <v>276</v>
      </c>
      <c r="J35" s="18">
        <v>1.7</v>
      </c>
      <c r="K35" s="30">
        <v>3.1</v>
      </c>
      <c r="L35" s="18">
        <v>4.8</v>
      </c>
      <c r="M35" s="16"/>
      <c r="N35" s="16"/>
    </row>
    <row r="36" spans="3:14">
      <c r="C36" s="18">
        <f t="shared" si="0"/>
        <v>21</v>
      </c>
      <c r="D36" s="18" t="s">
        <v>71</v>
      </c>
      <c r="E36" s="158">
        <v>63</v>
      </c>
      <c r="F36" s="158" t="s">
        <v>1126</v>
      </c>
      <c r="G36" s="158" t="s">
        <v>210</v>
      </c>
      <c r="H36" s="158">
        <v>5</v>
      </c>
      <c r="I36" s="29" t="s">
        <v>276</v>
      </c>
      <c r="J36" s="18">
        <v>1.7</v>
      </c>
      <c r="K36" s="30">
        <v>3.1</v>
      </c>
      <c r="L36" s="18">
        <v>4.8</v>
      </c>
      <c r="M36" s="16"/>
      <c r="N36" s="16"/>
    </row>
    <row r="37" spans="3:14">
      <c r="C37" s="18">
        <f t="shared" si="0"/>
        <v>22</v>
      </c>
      <c r="D37" s="18" t="s">
        <v>71</v>
      </c>
      <c r="E37" s="158">
        <v>63</v>
      </c>
      <c r="F37" s="158" t="s">
        <v>1126</v>
      </c>
      <c r="G37" s="158" t="s">
        <v>210</v>
      </c>
      <c r="H37" s="158">
        <v>140</v>
      </c>
      <c r="I37" s="29" t="s">
        <v>276</v>
      </c>
      <c r="J37" s="18">
        <v>1.7</v>
      </c>
      <c r="K37" s="30">
        <v>3.1</v>
      </c>
      <c r="L37" s="18">
        <v>4.8</v>
      </c>
      <c r="M37" s="16"/>
      <c r="N37" s="16"/>
    </row>
    <row r="38" spans="3:14">
      <c r="C38" s="18">
        <f t="shared" si="0"/>
        <v>23</v>
      </c>
      <c r="D38" s="18" t="s">
        <v>71</v>
      </c>
      <c r="E38" s="158">
        <v>63</v>
      </c>
      <c r="F38" s="158" t="s">
        <v>1127</v>
      </c>
      <c r="G38" s="158" t="s">
        <v>1128</v>
      </c>
      <c r="H38" s="55">
        <v>2.8</v>
      </c>
      <c r="I38" s="29" t="s">
        <v>276</v>
      </c>
      <c r="J38" s="18">
        <v>1.7</v>
      </c>
      <c r="K38" s="30">
        <v>3.1</v>
      </c>
      <c r="L38" s="18">
        <v>4.8</v>
      </c>
      <c r="M38" s="16"/>
      <c r="N38" s="16"/>
    </row>
    <row r="39" spans="3:14">
      <c r="C39" s="18">
        <f t="shared" si="0"/>
        <v>24</v>
      </c>
      <c r="D39" s="18" t="s">
        <v>71</v>
      </c>
      <c r="E39" s="158">
        <v>63</v>
      </c>
      <c r="F39" s="158" t="s">
        <v>1127</v>
      </c>
      <c r="G39" s="158" t="s">
        <v>1128</v>
      </c>
      <c r="H39" s="158">
        <v>42.1</v>
      </c>
      <c r="I39" s="29" t="s">
        <v>276</v>
      </c>
      <c r="J39" s="18">
        <v>1.7</v>
      </c>
      <c r="K39" s="30">
        <v>3.1</v>
      </c>
      <c r="L39" s="18">
        <v>4.8</v>
      </c>
      <c r="M39" s="16"/>
      <c r="N39" s="16"/>
    </row>
    <row r="40" spans="3:14">
      <c r="C40" s="18">
        <f t="shared" si="0"/>
        <v>25</v>
      </c>
      <c r="D40" s="18" t="s">
        <v>71</v>
      </c>
      <c r="E40" s="158">
        <v>63</v>
      </c>
      <c r="F40" s="158" t="s">
        <v>141</v>
      </c>
      <c r="G40" s="158" t="s">
        <v>194</v>
      </c>
      <c r="H40" s="158">
        <v>59.1</v>
      </c>
      <c r="I40" s="29" t="s">
        <v>276</v>
      </c>
      <c r="J40" s="18">
        <v>1.7</v>
      </c>
      <c r="K40" s="30">
        <v>3.1</v>
      </c>
      <c r="L40" s="18">
        <v>4.8</v>
      </c>
      <c r="M40" s="16"/>
      <c r="N40" s="16"/>
    </row>
    <row r="41" spans="3:14">
      <c r="C41" s="18">
        <f t="shared" si="0"/>
        <v>26</v>
      </c>
      <c r="D41" s="18" t="s">
        <v>71</v>
      </c>
      <c r="E41" s="158">
        <v>63</v>
      </c>
      <c r="F41" s="158" t="s">
        <v>403</v>
      </c>
      <c r="G41" s="158" t="s">
        <v>180</v>
      </c>
      <c r="H41" s="158">
        <v>496.2</v>
      </c>
      <c r="I41" s="29" t="s">
        <v>276</v>
      </c>
      <c r="J41" s="18">
        <v>1.7</v>
      </c>
      <c r="K41" s="30">
        <v>3.1</v>
      </c>
      <c r="L41" s="18">
        <v>4.8</v>
      </c>
      <c r="M41" s="16"/>
      <c r="N41" s="16"/>
    </row>
    <row r="42" spans="3:14">
      <c r="C42" s="18">
        <f t="shared" si="0"/>
        <v>27</v>
      </c>
      <c r="D42" s="18" t="s">
        <v>71</v>
      </c>
      <c r="E42" s="158">
        <v>63</v>
      </c>
      <c r="F42" s="158" t="s">
        <v>727</v>
      </c>
      <c r="G42" s="158" t="s">
        <v>430</v>
      </c>
      <c r="H42" s="158">
        <v>247</v>
      </c>
      <c r="I42" s="29" t="s">
        <v>276</v>
      </c>
      <c r="J42" s="18">
        <v>1.7</v>
      </c>
      <c r="K42" s="30">
        <v>3.1</v>
      </c>
      <c r="L42" s="18">
        <v>4.8</v>
      </c>
      <c r="M42" s="16"/>
      <c r="N42" s="16"/>
    </row>
    <row r="43" spans="3:14">
      <c r="C43" s="18">
        <f t="shared" si="0"/>
        <v>28</v>
      </c>
      <c r="D43" s="18" t="s">
        <v>71</v>
      </c>
      <c r="E43" s="158">
        <v>63</v>
      </c>
      <c r="F43" s="158" t="s">
        <v>727</v>
      </c>
      <c r="G43" s="158" t="s">
        <v>430</v>
      </c>
      <c r="H43" s="158">
        <v>2.2000000000000002</v>
      </c>
      <c r="I43" s="29" t="s">
        <v>276</v>
      </c>
      <c r="J43" s="18">
        <v>1.7</v>
      </c>
      <c r="K43" s="30">
        <v>3.1</v>
      </c>
      <c r="L43" s="18">
        <v>4.8</v>
      </c>
      <c r="M43" s="16"/>
      <c r="N43" s="16"/>
    </row>
    <row r="44" spans="3:14">
      <c r="C44" s="18">
        <f t="shared" si="0"/>
        <v>29</v>
      </c>
      <c r="D44" s="18" t="s">
        <v>71</v>
      </c>
      <c r="E44" s="158">
        <v>63</v>
      </c>
      <c r="F44" s="158" t="s">
        <v>727</v>
      </c>
      <c r="G44" s="158" t="s">
        <v>430</v>
      </c>
      <c r="H44" s="158">
        <v>140.80000000000001</v>
      </c>
      <c r="I44" s="29" t="s">
        <v>276</v>
      </c>
      <c r="J44" s="18">
        <v>1.7</v>
      </c>
      <c r="K44" s="30">
        <v>3.1</v>
      </c>
      <c r="L44" s="18">
        <v>4.8</v>
      </c>
      <c r="M44" s="16"/>
      <c r="N44" s="16"/>
    </row>
    <row r="45" spans="3:14">
      <c r="C45" s="18">
        <f t="shared" si="0"/>
        <v>30</v>
      </c>
      <c r="D45" s="18" t="s">
        <v>71</v>
      </c>
      <c r="E45" s="158">
        <v>63</v>
      </c>
      <c r="F45" s="158" t="s">
        <v>430</v>
      </c>
      <c r="G45" s="158" t="s">
        <v>760</v>
      </c>
      <c r="H45" s="158">
        <v>112.3</v>
      </c>
      <c r="I45" s="29" t="s">
        <v>276</v>
      </c>
      <c r="J45" s="18">
        <v>1.7</v>
      </c>
      <c r="K45" s="30">
        <v>3.1</v>
      </c>
      <c r="L45" s="18">
        <v>4.8</v>
      </c>
      <c r="M45" s="16"/>
      <c r="N45" s="16"/>
    </row>
    <row r="46" spans="3:14">
      <c r="C46" s="18">
        <f t="shared" si="0"/>
        <v>31</v>
      </c>
      <c r="D46" s="18" t="s">
        <v>71</v>
      </c>
      <c r="E46" s="158">
        <v>63</v>
      </c>
      <c r="F46" s="158" t="s">
        <v>430</v>
      </c>
      <c r="G46" s="158" t="s">
        <v>218</v>
      </c>
      <c r="H46" s="158">
        <f>72.1+248.8</f>
        <v>320.89999999999998</v>
      </c>
      <c r="I46" s="29" t="s">
        <v>276</v>
      </c>
      <c r="J46" s="18">
        <v>1.7</v>
      </c>
      <c r="K46" s="30">
        <v>3.1</v>
      </c>
      <c r="L46" s="18">
        <v>4.8</v>
      </c>
      <c r="M46" s="16"/>
      <c r="N46" s="16"/>
    </row>
    <row r="47" spans="3:14">
      <c r="C47" s="18">
        <f t="shared" si="0"/>
        <v>32</v>
      </c>
      <c r="D47" s="18" t="s">
        <v>71</v>
      </c>
      <c r="E47" s="158">
        <v>63</v>
      </c>
      <c r="F47" s="158" t="s">
        <v>727</v>
      </c>
      <c r="G47" s="158" t="s">
        <v>366</v>
      </c>
      <c r="H47" s="158">
        <v>474.8</v>
      </c>
      <c r="I47" s="29" t="s">
        <v>276</v>
      </c>
      <c r="J47" s="18">
        <v>1.7</v>
      </c>
      <c r="K47" s="30">
        <v>3.1</v>
      </c>
      <c r="L47" s="18">
        <v>4.8</v>
      </c>
      <c r="M47" s="16"/>
      <c r="N47" s="16"/>
    </row>
    <row r="48" spans="3:14">
      <c r="C48" s="18">
        <f t="shared" si="0"/>
        <v>33</v>
      </c>
      <c r="D48" s="18" t="s">
        <v>71</v>
      </c>
      <c r="E48" s="158">
        <v>63</v>
      </c>
      <c r="F48" s="158" t="s">
        <v>727</v>
      </c>
      <c r="G48" s="158" t="s">
        <v>366</v>
      </c>
      <c r="H48" s="158">
        <v>8</v>
      </c>
      <c r="I48" s="29" t="s">
        <v>276</v>
      </c>
      <c r="J48" s="18">
        <v>1.7</v>
      </c>
      <c r="K48" s="30">
        <v>3.1</v>
      </c>
      <c r="L48" s="18">
        <v>4.8</v>
      </c>
      <c r="M48" s="16"/>
      <c r="N48" s="16"/>
    </row>
    <row r="49" spans="3:14">
      <c r="C49" s="18">
        <f t="shared" si="0"/>
        <v>34</v>
      </c>
      <c r="D49" s="18" t="s">
        <v>71</v>
      </c>
      <c r="E49" s="158">
        <v>63</v>
      </c>
      <c r="F49" s="158" t="s">
        <v>366</v>
      </c>
      <c r="G49" s="158" t="s">
        <v>123</v>
      </c>
      <c r="H49" s="158">
        <v>452.8</v>
      </c>
      <c r="I49" s="29" t="s">
        <v>276</v>
      </c>
      <c r="J49" s="18">
        <v>1.7</v>
      </c>
      <c r="K49" s="30">
        <v>3.1</v>
      </c>
      <c r="L49" s="18">
        <v>4.8</v>
      </c>
      <c r="M49" s="16"/>
      <c r="N49" s="16"/>
    </row>
    <row r="50" spans="3:14">
      <c r="C50" s="18"/>
      <c r="D50" s="18"/>
      <c r="E50" s="29"/>
      <c r="F50" s="29"/>
      <c r="G50" s="29"/>
      <c r="H50" s="29"/>
      <c r="I50" s="29"/>
      <c r="J50" s="18"/>
      <c r="K50" s="30"/>
      <c r="L50" s="18"/>
      <c r="M50" s="16"/>
      <c r="N50" s="16"/>
    </row>
    <row r="51" spans="3:14">
      <c r="C51" s="374"/>
      <c r="D51" s="374"/>
      <c r="E51" s="374"/>
      <c r="F51" s="374"/>
      <c r="G51" s="374"/>
      <c r="H51" s="374"/>
      <c r="I51" s="374"/>
      <c r="J51" s="374"/>
      <c r="K51" s="374"/>
      <c r="L51" s="374"/>
      <c r="M51" s="374"/>
      <c r="N51" s="374"/>
    </row>
    <row r="52" spans="3:14">
      <c r="C52" s="324"/>
      <c r="D52" s="324"/>
      <c r="E52" s="325" t="s">
        <v>86</v>
      </c>
      <c r="F52" s="325"/>
      <c r="G52" s="325"/>
      <c r="H52" s="325"/>
      <c r="I52" s="325" t="s">
        <v>87</v>
      </c>
      <c r="J52" s="325"/>
      <c r="K52" s="325"/>
      <c r="L52" s="325" t="s">
        <v>39</v>
      </c>
      <c r="M52" s="325"/>
      <c r="N52" s="325"/>
    </row>
    <row r="53" spans="3:14">
      <c r="C53" s="295" t="s">
        <v>40</v>
      </c>
      <c r="D53" s="295"/>
      <c r="E53" s="317"/>
      <c r="F53" s="317"/>
      <c r="G53" s="317"/>
      <c r="H53" s="317"/>
      <c r="I53" s="317"/>
      <c r="J53" s="317"/>
      <c r="K53" s="317"/>
      <c r="L53" s="317"/>
      <c r="M53" s="317"/>
      <c r="N53" s="317"/>
    </row>
    <row r="54" spans="3:14">
      <c r="C54" s="295" t="s">
        <v>41</v>
      </c>
      <c r="D54" s="295"/>
      <c r="E54" s="317"/>
      <c r="F54" s="317"/>
      <c r="G54" s="317"/>
      <c r="H54" s="317"/>
      <c r="I54" s="317"/>
      <c r="J54" s="317"/>
      <c r="K54" s="317"/>
      <c r="L54" s="317"/>
      <c r="M54" s="317"/>
      <c r="N54" s="317"/>
    </row>
    <row r="55" spans="3:14">
      <c r="C55" s="295" t="s">
        <v>42</v>
      </c>
      <c r="D55" s="295"/>
      <c r="E55" s="317"/>
      <c r="F55" s="317"/>
      <c r="G55" s="317"/>
      <c r="H55" s="317"/>
      <c r="I55" s="317"/>
      <c r="J55" s="317"/>
      <c r="K55" s="317"/>
      <c r="L55" s="317"/>
      <c r="M55" s="317"/>
      <c r="N55" s="317"/>
    </row>
    <row r="56" spans="3:14">
      <c r="C56" s="295" t="s">
        <v>43</v>
      </c>
      <c r="D56" s="295"/>
      <c r="E56" s="315"/>
      <c r="F56" s="316"/>
      <c r="G56" s="316"/>
      <c r="H56" s="316"/>
      <c r="I56" s="317"/>
      <c r="J56" s="317"/>
      <c r="K56" s="317"/>
      <c r="L56" s="317"/>
      <c r="M56" s="317"/>
      <c r="N56" s="317"/>
    </row>
    <row r="58" spans="3:14">
      <c r="C58" s="206"/>
      <c r="D58" s="211" t="s">
        <v>44</v>
      </c>
      <c r="E58" s="212"/>
      <c r="F58" s="212"/>
      <c r="G58" s="212"/>
      <c r="H58" s="212"/>
      <c r="I58" s="212"/>
      <c r="J58" s="212"/>
      <c r="K58" s="212"/>
      <c r="L58" s="20"/>
      <c r="M58" s="20"/>
      <c r="N58" s="21"/>
    </row>
    <row r="59" spans="3:14">
      <c r="C59" s="207"/>
      <c r="D59" s="214"/>
      <c r="E59" s="215"/>
      <c r="F59" s="215"/>
      <c r="G59" s="215"/>
      <c r="H59" s="215"/>
      <c r="I59" s="215"/>
      <c r="J59" s="215"/>
      <c r="K59" s="215"/>
      <c r="N59" s="22"/>
    </row>
    <row r="60" spans="3:14">
      <c r="C60" s="207"/>
      <c r="D60" s="214"/>
      <c r="E60" s="215"/>
      <c r="F60" s="215"/>
      <c r="G60" s="215"/>
      <c r="H60" s="215"/>
      <c r="I60" s="215"/>
      <c r="J60" s="215"/>
      <c r="K60" s="215"/>
      <c r="N60" s="22"/>
    </row>
    <row r="61" spans="3:14">
      <c r="C61" s="207"/>
      <c r="D61" s="289"/>
      <c r="E61" s="290"/>
      <c r="F61" s="290"/>
      <c r="G61" s="290"/>
      <c r="H61" s="290"/>
      <c r="I61" s="290"/>
      <c r="J61" s="290"/>
      <c r="K61" s="290"/>
      <c r="N61" s="22"/>
    </row>
    <row r="62" spans="3:14" ht="16.5">
      <c r="C62" s="223" t="s">
        <v>45</v>
      </c>
      <c r="D62" s="224"/>
      <c r="E62" s="7" t="s">
        <v>46</v>
      </c>
      <c r="F62" s="8"/>
      <c r="G62" s="8"/>
      <c r="H62" s="8"/>
      <c r="I62" s="8"/>
      <c r="J62" s="8"/>
      <c r="K62" s="8"/>
      <c r="L62" s="8"/>
      <c r="M62" s="8"/>
      <c r="N62" s="23"/>
    </row>
    <row r="63" spans="3:14" ht="16.5">
      <c r="C63" s="223" t="s">
        <v>48</v>
      </c>
      <c r="D63" s="224"/>
      <c r="E63" s="7" t="s">
        <v>49</v>
      </c>
      <c r="F63" s="8"/>
      <c r="G63" s="8"/>
      <c r="H63" s="8"/>
      <c r="I63" s="8"/>
      <c r="J63" s="8"/>
      <c r="K63" s="8"/>
      <c r="L63" s="8"/>
      <c r="M63" s="8"/>
      <c r="N63" s="23"/>
    </row>
    <row r="64" spans="3:14" ht="16.5">
      <c r="C64" s="225" t="s">
        <v>50</v>
      </c>
      <c r="D64" s="226"/>
      <c r="E64" s="7" t="s">
        <v>51</v>
      </c>
      <c r="F64" s="8"/>
      <c r="G64" s="8"/>
      <c r="H64" s="8"/>
      <c r="I64" s="8"/>
      <c r="J64" s="8"/>
      <c r="K64" s="8"/>
      <c r="L64" s="8"/>
      <c r="M64" s="8"/>
      <c r="N64" s="23"/>
    </row>
    <row r="65" spans="3:14" ht="16.5">
      <c r="C65" s="223" t="s">
        <v>52</v>
      </c>
      <c r="D65" s="224"/>
      <c r="E65" s="7" t="s">
        <v>53</v>
      </c>
      <c r="F65" s="8"/>
      <c r="G65" s="8"/>
      <c r="H65" s="8"/>
      <c r="I65" s="8"/>
      <c r="J65" s="8"/>
      <c r="K65" s="8"/>
      <c r="L65" s="8"/>
      <c r="M65" s="8"/>
      <c r="N65" s="23"/>
    </row>
    <row r="66" spans="3:14" ht="15.75">
      <c r="C66" s="227" t="s">
        <v>1120</v>
      </c>
      <c r="D66" s="228"/>
      <c r="E66" s="228"/>
      <c r="F66" s="228"/>
      <c r="G66" s="228"/>
      <c r="H66" s="228"/>
      <c r="I66" s="228"/>
      <c r="J66" s="228"/>
      <c r="K66" s="228"/>
      <c r="L66" s="228"/>
      <c r="M66" s="228"/>
      <c r="N66" s="229"/>
    </row>
    <row r="67" spans="3:14" ht="15.75">
      <c r="C67" s="11" t="s">
        <v>55</v>
      </c>
      <c r="E67" s="12"/>
      <c r="F67" s="12"/>
      <c r="G67" s="12"/>
      <c r="H67" s="12"/>
      <c r="I67" s="24" t="s">
        <v>56</v>
      </c>
      <c r="J67" s="25"/>
      <c r="K67" s="12"/>
      <c r="L67" s="12"/>
      <c r="M67" s="12"/>
      <c r="N67" s="26"/>
    </row>
    <row r="68" spans="3:14">
      <c r="C68" s="217"/>
      <c r="D68" s="218"/>
      <c r="E68" s="218"/>
      <c r="F68" s="218"/>
      <c r="G68" s="218"/>
      <c r="H68" s="218"/>
      <c r="I68" s="218"/>
      <c r="J68" s="218"/>
      <c r="K68" s="218"/>
      <c r="L68" s="218"/>
      <c r="M68" s="218"/>
      <c r="N68" s="219"/>
    </row>
    <row r="69" spans="3:14" ht="15.75">
      <c r="C69" s="15" t="s">
        <v>103</v>
      </c>
      <c r="D69" s="355"/>
      <c r="E69" s="356"/>
      <c r="F69" s="356"/>
      <c r="G69" s="356"/>
      <c r="H69" s="357"/>
      <c r="I69" s="368" t="s">
        <v>542</v>
      </c>
      <c r="J69" s="369"/>
      <c r="K69" s="369"/>
      <c r="L69" s="369"/>
      <c r="M69" s="369"/>
      <c r="N69" s="370"/>
    </row>
    <row r="70" spans="3:14">
      <c r="C70" s="329" t="s">
        <v>59</v>
      </c>
      <c r="D70" s="209" t="s">
        <v>60</v>
      </c>
      <c r="E70" s="209" t="s">
        <v>659</v>
      </c>
      <c r="F70" s="209" t="s">
        <v>62</v>
      </c>
      <c r="G70" s="209" t="s">
        <v>63</v>
      </c>
      <c r="H70" s="209" t="s">
        <v>64</v>
      </c>
      <c r="I70" s="209" t="s">
        <v>65</v>
      </c>
      <c r="J70" s="342" t="s">
        <v>66</v>
      </c>
      <c r="K70" s="343"/>
      <c r="L70" s="344"/>
      <c r="M70" s="209" t="s">
        <v>30</v>
      </c>
      <c r="N70" s="328" t="s">
        <v>67</v>
      </c>
    </row>
    <row r="71" spans="3:14" ht="60">
      <c r="C71" s="359"/>
      <c r="D71" s="292"/>
      <c r="E71" s="292"/>
      <c r="F71" s="292"/>
      <c r="G71" s="292"/>
      <c r="H71" s="292"/>
      <c r="I71" s="292"/>
      <c r="J71" s="17" t="s">
        <v>68</v>
      </c>
      <c r="K71" s="28" t="s">
        <v>999</v>
      </c>
      <c r="L71" s="17" t="s">
        <v>70</v>
      </c>
      <c r="M71" s="292"/>
      <c r="N71" s="360"/>
    </row>
    <row r="72" spans="3:14">
      <c r="C72" s="18">
        <v>1</v>
      </c>
      <c r="D72" s="18" t="s">
        <v>71</v>
      </c>
      <c r="E72" s="158">
        <v>63</v>
      </c>
      <c r="F72" s="158" t="s">
        <v>123</v>
      </c>
      <c r="G72" s="158" t="s">
        <v>175</v>
      </c>
      <c r="H72" s="158">
        <v>3</v>
      </c>
      <c r="I72" s="29" t="s">
        <v>1129</v>
      </c>
      <c r="J72" s="18">
        <v>1</v>
      </c>
      <c r="K72" s="30">
        <v>3</v>
      </c>
      <c r="L72" s="18">
        <v>4</v>
      </c>
      <c r="M72" s="16"/>
      <c r="N72" s="16"/>
    </row>
    <row r="73" spans="3:14">
      <c r="C73" s="18">
        <f t="shared" ref="C73:C94" si="1">1+C72</f>
        <v>2</v>
      </c>
      <c r="D73" s="18" t="s">
        <v>71</v>
      </c>
      <c r="E73" s="158">
        <v>63</v>
      </c>
      <c r="F73" s="158" t="s">
        <v>175</v>
      </c>
      <c r="G73" s="158" t="s">
        <v>183</v>
      </c>
      <c r="H73" s="158">
        <v>40</v>
      </c>
      <c r="I73" s="29" t="s">
        <v>1129</v>
      </c>
      <c r="J73" s="18">
        <v>1</v>
      </c>
      <c r="K73" s="30">
        <v>3</v>
      </c>
      <c r="L73" s="18">
        <v>4</v>
      </c>
      <c r="M73" s="16"/>
      <c r="N73" s="16"/>
    </row>
    <row r="74" spans="3:14">
      <c r="C74" s="18">
        <f t="shared" si="1"/>
        <v>3</v>
      </c>
      <c r="D74" s="18" t="s">
        <v>71</v>
      </c>
      <c r="E74" s="158">
        <v>63</v>
      </c>
      <c r="F74" s="158" t="s">
        <v>183</v>
      </c>
      <c r="G74" s="158" t="s">
        <v>188</v>
      </c>
      <c r="H74" s="158">
        <v>37</v>
      </c>
      <c r="I74" s="29" t="s">
        <v>1129</v>
      </c>
      <c r="J74" s="18">
        <v>1</v>
      </c>
      <c r="K74" s="30">
        <v>3</v>
      </c>
      <c r="L74" s="18">
        <v>4</v>
      </c>
      <c r="M74" s="16"/>
      <c r="N74" s="16"/>
    </row>
    <row r="75" spans="3:14">
      <c r="C75" s="18">
        <f t="shared" si="1"/>
        <v>4</v>
      </c>
      <c r="D75" s="18" t="s">
        <v>71</v>
      </c>
      <c r="E75" s="158">
        <v>63</v>
      </c>
      <c r="F75" s="158" t="s">
        <v>183</v>
      </c>
      <c r="G75" s="158" t="s">
        <v>168</v>
      </c>
      <c r="H75" s="158">
        <v>28</v>
      </c>
      <c r="I75" s="29" t="s">
        <v>1129</v>
      </c>
      <c r="J75" s="18">
        <v>1</v>
      </c>
      <c r="K75" s="30">
        <v>3</v>
      </c>
      <c r="L75" s="18">
        <v>4</v>
      </c>
      <c r="M75" s="16"/>
      <c r="N75" s="16"/>
    </row>
    <row r="76" spans="3:14">
      <c r="C76" s="18">
        <f t="shared" si="1"/>
        <v>5</v>
      </c>
      <c r="D76" s="18" t="s">
        <v>71</v>
      </c>
      <c r="E76" s="158">
        <v>63</v>
      </c>
      <c r="F76" s="158" t="s">
        <v>342</v>
      </c>
      <c r="G76" s="158" t="s">
        <v>1107</v>
      </c>
      <c r="H76" s="158">
        <v>284.8</v>
      </c>
      <c r="I76" s="29" t="s">
        <v>1129</v>
      </c>
      <c r="J76" s="18">
        <v>1</v>
      </c>
      <c r="K76" s="30">
        <v>3</v>
      </c>
      <c r="L76" s="18">
        <v>4</v>
      </c>
      <c r="M76" s="16"/>
      <c r="N76" s="16"/>
    </row>
    <row r="77" spans="3:14">
      <c r="C77" s="18">
        <f t="shared" si="1"/>
        <v>6</v>
      </c>
      <c r="D77" s="18" t="s">
        <v>71</v>
      </c>
      <c r="E77" s="158">
        <v>63</v>
      </c>
      <c r="F77" s="158" t="s">
        <v>1107</v>
      </c>
      <c r="G77" s="158" t="s">
        <v>83</v>
      </c>
      <c r="H77" s="158">
        <v>287.5</v>
      </c>
      <c r="I77" s="29" t="s">
        <v>1129</v>
      </c>
      <c r="J77" s="18">
        <v>1</v>
      </c>
      <c r="K77" s="30">
        <v>3</v>
      </c>
      <c r="L77" s="18">
        <v>4</v>
      </c>
      <c r="M77" s="16"/>
      <c r="N77" s="16"/>
    </row>
    <row r="78" spans="3:14">
      <c r="C78" s="18">
        <f t="shared" si="1"/>
        <v>7</v>
      </c>
      <c r="D78" s="18" t="s">
        <v>71</v>
      </c>
      <c r="E78" s="158">
        <v>63</v>
      </c>
      <c r="F78" s="158" t="s">
        <v>381</v>
      </c>
      <c r="G78" s="158" t="s">
        <v>688</v>
      </c>
      <c r="H78" s="158">
        <v>48.8</v>
      </c>
      <c r="I78" s="29" t="s">
        <v>1129</v>
      </c>
      <c r="J78" s="18">
        <v>1</v>
      </c>
      <c r="K78" s="30">
        <v>3</v>
      </c>
      <c r="L78" s="18">
        <v>4</v>
      </c>
      <c r="M78" s="16"/>
      <c r="N78" s="16"/>
    </row>
    <row r="79" spans="3:14">
      <c r="C79" s="18">
        <f t="shared" si="1"/>
        <v>8</v>
      </c>
      <c r="D79" s="18" t="s">
        <v>71</v>
      </c>
      <c r="E79" s="158">
        <v>63</v>
      </c>
      <c r="F79" s="158" t="s">
        <v>187</v>
      </c>
      <c r="G79" s="158" t="s">
        <v>183</v>
      </c>
      <c r="H79" s="158">
        <v>28.4</v>
      </c>
      <c r="I79" s="29" t="s">
        <v>1129</v>
      </c>
      <c r="J79" s="18">
        <v>1</v>
      </c>
      <c r="K79" s="30">
        <v>3</v>
      </c>
      <c r="L79" s="18">
        <v>4</v>
      </c>
      <c r="M79" s="16"/>
      <c r="N79" s="16"/>
    </row>
    <row r="80" spans="3:14">
      <c r="C80" s="18">
        <f t="shared" si="1"/>
        <v>9</v>
      </c>
      <c r="D80" s="18" t="s">
        <v>71</v>
      </c>
      <c r="E80" s="158">
        <v>63</v>
      </c>
      <c r="F80" s="158" t="s">
        <v>1130</v>
      </c>
      <c r="G80" s="158" t="s">
        <v>1059</v>
      </c>
      <c r="H80" s="158">
        <v>179</v>
      </c>
      <c r="I80" s="34" t="s">
        <v>1129</v>
      </c>
      <c r="J80" s="32">
        <v>1</v>
      </c>
      <c r="K80" s="35">
        <v>3</v>
      </c>
      <c r="L80" s="32">
        <v>4</v>
      </c>
      <c r="M80" s="16"/>
      <c r="N80" s="16"/>
    </row>
    <row r="81" spans="3:14">
      <c r="C81" s="18">
        <f t="shared" si="1"/>
        <v>10</v>
      </c>
      <c r="D81" s="18" t="s">
        <v>71</v>
      </c>
      <c r="E81" s="158">
        <v>63</v>
      </c>
      <c r="F81" s="158" t="s">
        <v>312</v>
      </c>
      <c r="G81" s="158" t="s">
        <v>507</v>
      </c>
      <c r="H81" s="158">
        <v>10.9</v>
      </c>
      <c r="I81" s="29" t="s">
        <v>1129</v>
      </c>
      <c r="J81" s="18">
        <v>1</v>
      </c>
      <c r="K81" s="30">
        <v>3</v>
      </c>
      <c r="L81" s="18">
        <v>4</v>
      </c>
      <c r="M81" s="16"/>
      <c r="N81" s="16"/>
    </row>
    <row r="82" spans="3:14">
      <c r="C82" s="18">
        <f t="shared" si="1"/>
        <v>11</v>
      </c>
      <c r="D82" s="18" t="s">
        <v>71</v>
      </c>
      <c r="E82" s="158">
        <v>63</v>
      </c>
      <c r="F82" s="158" t="s">
        <v>507</v>
      </c>
      <c r="G82" s="158" t="s">
        <v>1131</v>
      </c>
      <c r="H82" s="158">
        <v>10.8</v>
      </c>
      <c r="I82" s="29" t="s">
        <v>1129</v>
      </c>
      <c r="J82" s="18">
        <v>1</v>
      </c>
      <c r="K82" s="30">
        <v>3</v>
      </c>
      <c r="L82" s="18">
        <v>4</v>
      </c>
      <c r="M82" s="16"/>
      <c r="N82" s="16"/>
    </row>
    <row r="83" spans="3:14">
      <c r="C83" s="18">
        <f t="shared" si="1"/>
        <v>12</v>
      </c>
      <c r="D83" s="18" t="s">
        <v>71</v>
      </c>
      <c r="E83" s="158">
        <v>63</v>
      </c>
      <c r="F83" s="158" t="s">
        <v>507</v>
      </c>
      <c r="G83" s="158" t="s">
        <v>1131</v>
      </c>
      <c r="H83" s="158">
        <v>11.7</v>
      </c>
      <c r="I83" s="29" t="s">
        <v>1129</v>
      </c>
      <c r="J83" s="18">
        <v>1</v>
      </c>
      <c r="K83" s="30">
        <v>3</v>
      </c>
      <c r="L83" s="18">
        <v>4</v>
      </c>
      <c r="M83" s="16"/>
      <c r="N83" s="16"/>
    </row>
    <row r="84" spans="3:14">
      <c r="C84" s="18">
        <f t="shared" si="1"/>
        <v>13</v>
      </c>
      <c r="D84" s="18" t="s">
        <v>71</v>
      </c>
      <c r="E84" s="158">
        <v>63</v>
      </c>
      <c r="F84" s="158" t="s">
        <v>1131</v>
      </c>
      <c r="G84" s="158" t="s">
        <v>1132</v>
      </c>
      <c r="H84" s="158">
        <v>24</v>
      </c>
      <c r="I84" s="29" t="s">
        <v>1129</v>
      </c>
      <c r="J84" s="18">
        <v>1</v>
      </c>
      <c r="K84" s="30">
        <v>3</v>
      </c>
      <c r="L84" s="18">
        <v>4</v>
      </c>
      <c r="M84" s="16"/>
      <c r="N84" s="16"/>
    </row>
    <row r="85" spans="3:14">
      <c r="C85" s="18">
        <f t="shared" si="1"/>
        <v>14</v>
      </c>
      <c r="D85" s="18" t="s">
        <v>71</v>
      </c>
      <c r="E85" s="158">
        <v>63</v>
      </c>
      <c r="F85" s="158" t="s">
        <v>1131</v>
      </c>
      <c r="G85" s="158" t="s">
        <v>1132</v>
      </c>
      <c r="H85" s="158">
        <v>43.1</v>
      </c>
      <c r="I85" s="29" t="s">
        <v>1129</v>
      </c>
      <c r="J85" s="18">
        <v>1</v>
      </c>
      <c r="K85" s="30">
        <v>3</v>
      </c>
      <c r="L85" s="18">
        <v>4</v>
      </c>
      <c r="M85" s="16"/>
      <c r="N85" s="16"/>
    </row>
    <row r="86" spans="3:14">
      <c r="C86" s="18">
        <f t="shared" si="1"/>
        <v>15</v>
      </c>
      <c r="D86" s="18" t="s">
        <v>71</v>
      </c>
      <c r="E86" s="158">
        <v>63</v>
      </c>
      <c r="F86" s="158" t="s">
        <v>507</v>
      </c>
      <c r="G86" s="158" t="s">
        <v>620</v>
      </c>
      <c r="H86" s="158">
        <v>23.1</v>
      </c>
      <c r="I86" s="29" t="s">
        <v>1129</v>
      </c>
      <c r="J86" s="18">
        <v>1</v>
      </c>
      <c r="K86" s="30">
        <v>3</v>
      </c>
      <c r="L86" s="18">
        <v>4</v>
      </c>
      <c r="M86" s="16"/>
      <c r="N86" s="16"/>
    </row>
    <row r="87" spans="3:14">
      <c r="C87" s="18">
        <f t="shared" si="1"/>
        <v>16</v>
      </c>
      <c r="D87" s="18" t="s">
        <v>71</v>
      </c>
      <c r="E87" s="158">
        <v>63</v>
      </c>
      <c r="F87" s="158" t="s">
        <v>1133</v>
      </c>
      <c r="G87" s="158" t="s">
        <v>1134</v>
      </c>
      <c r="H87" s="158">
        <v>453.4</v>
      </c>
      <c r="I87" s="29" t="s">
        <v>1129</v>
      </c>
      <c r="J87" s="18">
        <v>1</v>
      </c>
      <c r="K87" s="30">
        <v>3</v>
      </c>
      <c r="L87" s="18">
        <v>4</v>
      </c>
      <c r="M87" s="16"/>
      <c r="N87" s="16"/>
    </row>
    <row r="88" spans="3:14">
      <c r="C88" s="18">
        <f t="shared" si="1"/>
        <v>17</v>
      </c>
      <c r="D88" s="18" t="s">
        <v>71</v>
      </c>
      <c r="E88" s="158">
        <v>63</v>
      </c>
      <c r="F88" s="158" t="s">
        <v>1134</v>
      </c>
      <c r="G88" s="158" t="s">
        <v>761</v>
      </c>
      <c r="H88" s="158">
        <v>21.1</v>
      </c>
      <c r="I88" s="29" t="s">
        <v>1129</v>
      </c>
      <c r="J88" s="18">
        <v>1</v>
      </c>
      <c r="K88" s="30">
        <v>3</v>
      </c>
      <c r="L88" s="18">
        <v>4</v>
      </c>
      <c r="M88" s="16"/>
      <c r="N88" s="16"/>
    </row>
    <row r="89" spans="3:14">
      <c r="C89" s="18">
        <f t="shared" si="1"/>
        <v>18</v>
      </c>
      <c r="D89" s="18" t="s">
        <v>71</v>
      </c>
      <c r="E89" s="158">
        <v>90</v>
      </c>
      <c r="F89" s="158" t="s">
        <v>761</v>
      </c>
      <c r="G89" s="158" t="s">
        <v>1135</v>
      </c>
      <c r="H89" s="158">
        <v>505.1</v>
      </c>
      <c r="I89" s="29" t="s">
        <v>1129</v>
      </c>
      <c r="J89" s="18">
        <v>1</v>
      </c>
      <c r="K89" s="30">
        <v>3</v>
      </c>
      <c r="L89" s="18">
        <v>4</v>
      </c>
      <c r="M89" s="16"/>
      <c r="N89" s="16"/>
    </row>
    <row r="90" spans="3:14">
      <c r="C90" s="18">
        <f t="shared" si="1"/>
        <v>19</v>
      </c>
      <c r="D90" s="18" t="s">
        <v>71</v>
      </c>
      <c r="E90" s="158">
        <v>110</v>
      </c>
      <c r="F90" s="158" t="s">
        <v>1135</v>
      </c>
      <c r="G90" s="158" t="s">
        <v>1041</v>
      </c>
      <c r="H90" s="158">
        <v>311.8</v>
      </c>
      <c r="I90" s="29" t="s">
        <v>1129</v>
      </c>
      <c r="J90" s="18">
        <v>1</v>
      </c>
      <c r="K90" s="30">
        <v>3</v>
      </c>
      <c r="L90" s="18">
        <v>4</v>
      </c>
      <c r="M90" s="16"/>
      <c r="N90" s="16"/>
    </row>
    <row r="91" spans="3:14">
      <c r="C91" s="18">
        <f t="shared" si="1"/>
        <v>20</v>
      </c>
      <c r="D91" s="18" t="s">
        <v>71</v>
      </c>
      <c r="E91" s="158">
        <v>90</v>
      </c>
      <c r="F91" s="158" t="s">
        <v>1041</v>
      </c>
      <c r="G91" s="158" t="s">
        <v>172</v>
      </c>
      <c r="H91" s="158">
        <v>248.7</v>
      </c>
      <c r="I91" s="29" t="s">
        <v>1129</v>
      </c>
      <c r="J91" s="18">
        <v>1</v>
      </c>
      <c r="K91" s="30">
        <v>3</v>
      </c>
      <c r="L91" s="18">
        <v>4</v>
      </c>
      <c r="M91" s="16"/>
      <c r="N91" s="16"/>
    </row>
    <row r="92" spans="3:14">
      <c r="C92" s="18">
        <f t="shared" si="1"/>
        <v>21</v>
      </c>
      <c r="D92" s="18" t="s">
        <v>71</v>
      </c>
      <c r="E92" s="158">
        <v>90</v>
      </c>
      <c r="F92" s="158" t="s">
        <v>1135</v>
      </c>
      <c r="G92" s="158" t="s">
        <v>309</v>
      </c>
      <c r="H92" s="158">
        <v>190.2</v>
      </c>
      <c r="I92" s="29" t="s">
        <v>1129</v>
      </c>
      <c r="J92" s="18">
        <v>1</v>
      </c>
      <c r="K92" s="30">
        <v>3</v>
      </c>
      <c r="L92" s="18">
        <v>4</v>
      </c>
      <c r="M92" s="16"/>
      <c r="N92" s="16"/>
    </row>
    <row r="93" spans="3:14">
      <c r="C93" s="18">
        <f t="shared" si="1"/>
        <v>22</v>
      </c>
      <c r="D93" s="18" t="s">
        <v>71</v>
      </c>
      <c r="E93" s="158">
        <v>90</v>
      </c>
      <c r="F93" s="158" t="s">
        <v>309</v>
      </c>
      <c r="G93" s="158" t="s">
        <v>797</v>
      </c>
      <c r="H93" s="158">
        <v>102.3</v>
      </c>
      <c r="I93" s="29" t="s">
        <v>1129</v>
      </c>
      <c r="J93" s="18">
        <v>1</v>
      </c>
      <c r="K93" s="30">
        <v>3</v>
      </c>
      <c r="L93" s="18">
        <v>4</v>
      </c>
      <c r="M93" s="16"/>
      <c r="N93" s="16"/>
    </row>
    <row r="94" spans="3:14">
      <c r="C94" s="18">
        <f t="shared" si="1"/>
        <v>23</v>
      </c>
      <c r="D94" s="18" t="s">
        <v>71</v>
      </c>
      <c r="E94" s="158">
        <v>63</v>
      </c>
      <c r="F94" s="158" t="s">
        <v>797</v>
      </c>
      <c r="G94" s="158" t="s">
        <v>667</v>
      </c>
      <c r="H94" s="158">
        <v>299.2</v>
      </c>
      <c r="I94" s="29" t="s">
        <v>1129</v>
      </c>
      <c r="J94" s="18">
        <v>1</v>
      </c>
      <c r="K94" s="30">
        <v>3</v>
      </c>
      <c r="L94" s="18">
        <v>4</v>
      </c>
      <c r="M94" s="16"/>
      <c r="N94" s="16"/>
    </row>
    <row r="95" spans="3:14">
      <c r="C95" s="18"/>
      <c r="D95" s="18"/>
      <c r="E95" s="29"/>
      <c r="F95" s="29"/>
      <c r="G95" s="29"/>
      <c r="H95" s="29"/>
      <c r="I95" s="29"/>
      <c r="J95" s="18"/>
      <c r="K95" s="30"/>
      <c r="L95" s="18"/>
      <c r="M95" s="16"/>
      <c r="N95" s="16"/>
    </row>
    <row r="96" spans="3:14">
      <c r="C96" s="374"/>
      <c r="D96" s="374"/>
      <c r="E96" s="374"/>
      <c r="F96" s="374"/>
      <c r="G96" s="374"/>
      <c r="H96" s="374"/>
      <c r="I96" s="374"/>
      <c r="J96" s="374"/>
      <c r="K96" s="374"/>
      <c r="L96" s="374"/>
      <c r="M96" s="374"/>
      <c r="N96" s="374"/>
    </row>
    <row r="97" spans="3:14">
      <c r="C97" s="324"/>
      <c r="D97" s="324"/>
      <c r="E97" s="325" t="s">
        <v>86</v>
      </c>
      <c r="F97" s="325"/>
      <c r="G97" s="325"/>
      <c r="H97" s="325"/>
      <c r="I97" s="325" t="s">
        <v>87</v>
      </c>
      <c r="J97" s="325"/>
      <c r="K97" s="325"/>
      <c r="L97" s="325" t="s">
        <v>39</v>
      </c>
      <c r="M97" s="325"/>
      <c r="N97" s="325"/>
    </row>
    <row r="98" spans="3:14">
      <c r="C98" s="295" t="s">
        <v>40</v>
      </c>
      <c r="D98" s="295"/>
      <c r="E98" s="317"/>
      <c r="F98" s="317"/>
      <c r="G98" s="317"/>
      <c r="H98" s="317"/>
      <c r="I98" s="317"/>
      <c r="J98" s="317"/>
      <c r="K98" s="317"/>
      <c r="L98" s="317"/>
      <c r="M98" s="317"/>
      <c r="N98" s="317"/>
    </row>
    <row r="99" spans="3:14">
      <c r="C99" s="295" t="s">
        <v>41</v>
      </c>
      <c r="D99" s="295"/>
      <c r="E99" s="317"/>
      <c r="F99" s="317"/>
      <c r="G99" s="317"/>
      <c r="H99" s="317"/>
      <c r="I99" s="317"/>
      <c r="J99" s="317"/>
      <c r="K99" s="317"/>
      <c r="L99" s="317"/>
      <c r="M99" s="317"/>
      <c r="N99" s="317"/>
    </row>
    <row r="100" spans="3:14">
      <c r="C100" s="295" t="s">
        <v>42</v>
      </c>
      <c r="D100" s="295"/>
      <c r="E100" s="317"/>
      <c r="F100" s="317"/>
      <c r="G100" s="317"/>
      <c r="H100" s="317"/>
      <c r="I100" s="317"/>
      <c r="J100" s="317"/>
      <c r="K100" s="317"/>
      <c r="L100" s="317"/>
      <c r="M100" s="317"/>
      <c r="N100" s="317"/>
    </row>
    <row r="101" spans="3:14">
      <c r="C101" s="295" t="s">
        <v>43</v>
      </c>
      <c r="D101" s="295"/>
      <c r="E101" s="315"/>
      <c r="F101" s="316"/>
      <c r="G101" s="316"/>
      <c r="H101" s="316"/>
      <c r="I101" s="317"/>
      <c r="J101" s="317"/>
      <c r="K101" s="317"/>
      <c r="L101" s="317"/>
      <c r="M101" s="317"/>
      <c r="N101" s="317"/>
    </row>
    <row r="103" spans="3:14">
      <c r="C103" s="206"/>
      <c r="D103" s="211" t="s">
        <v>44</v>
      </c>
      <c r="E103" s="212"/>
      <c r="F103" s="212"/>
      <c r="G103" s="212"/>
      <c r="H103" s="212"/>
      <c r="I103" s="212"/>
      <c r="J103" s="212"/>
      <c r="K103" s="212"/>
      <c r="L103" s="20"/>
      <c r="M103" s="20"/>
      <c r="N103" s="21"/>
    </row>
    <row r="104" spans="3:14">
      <c r="C104" s="207"/>
      <c r="D104" s="214"/>
      <c r="E104" s="215"/>
      <c r="F104" s="215"/>
      <c r="G104" s="215"/>
      <c r="H104" s="215"/>
      <c r="I104" s="215"/>
      <c r="J104" s="215"/>
      <c r="K104" s="215"/>
      <c r="N104" s="22"/>
    </row>
    <row r="105" spans="3:14">
      <c r="C105" s="207"/>
      <c r="D105" s="214"/>
      <c r="E105" s="215"/>
      <c r="F105" s="215"/>
      <c r="G105" s="215"/>
      <c r="H105" s="215"/>
      <c r="I105" s="215"/>
      <c r="J105" s="215"/>
      <c r="K105" s="215"/>
      <c r="N105" s="22"/>
    </row>
    <row r="106" spans="3:14">
      <c r="C106" s="207"/>
      <c r="D106" s="289"/>
      <c r="E106" s="290"/>
      <c r="F106" s="290"/>
      <c r="G106" s="290"/>
      <c r="H106" s="290"/>
      <c r="I106" s="290"/>
      <c r="J106" s="290"/>
      <c r="K106" s="290"/>
      <c r="N106" s="22"/>
    </row>
    <row r="107" spans="3:14" ht="16.5">
      <c r="C107" s="223" t="s">
        <v>45</v>
      </c>
      <c r="D107" s="224"/>
      <c r="E107" s="7" t="s">
        <v>46</v>
      </c>
      <c r="F107" s="8"/>
      <c r="G107" s="8"/>
      <c r="H107" s="8"/>
      <c r="I107" s="8"/>
      <c r="J107" s="8"/>
      <c r="K107" s="8"/>
      <c r="L107" s="8"/>
      <c r="M107" s="8"/>
      <c r="N107" s="23"/>
    </row>
    <row r="108" spans="3:14" ht="16.5">
      <c r="C108" s="223" t="s">
        <v>48</v>
      </c>
      <c r="D108" s="224"/>
      <c r="E108" s="7" t="s">
        <v>49</v>
      </c>
      <c r="F108" s="8"/>
      <c r="G108" s="8"/>
      <c r="H108" s="8"/>
      <c r="I108" s="8"/>
      <c r="J108" s="8"/>
      <c r="K108" s="8"/>
      <c r="L108" s="8"/>
      <c r="M108" s="8"/>
      <c r="N108" s="23"/>
    </row>
    <row r="109" spans="3:14" ht="16.5">
      <c r="C109" s="225" t="s">
        <v>50</v>
      </c>
      <c r="D109" s="226"/>
      <c r="E109" s="7" t="s">
        <v>51</v>
      </c>
      <c r="F109" s="8"/>
      <c r="G109" s="8"/>
      <c r="H109" s="8"/>
      <c r="I109" s="8"/>
      <c r="J109" s="8"/>
      <c r="K109" s="8"/>
      <c r="L109" s="8"/>
      <c r="M109" s="8"/>
      <c r="N109" s="23"/>
    </row>
    <row r="110" spans="3:14" ht="16.5">
      <c r="C110" s="223" t="s">
        <v>52</v>
      </c>
      <c r="D110" s="224"/>
      <c r="E110" s="7" t="s">
        <v>53</v>
      </c>
      <c r="F110" s="8"/>
      <c r="G110" s="8"/>
      <c r="H110" s="8"/>
      <c r="I110" s="8"/>
      <c r="J110" s="8"/>
      <c r="K110" s="8"/>
      <c r="L110" s="8"/>
      <c r="M110" s="8"/>
      <c r="N110" s="23"/>
    </row>
    <row r="111" spans="3:14" ht="15.75">
      <c r="C111" s="227" t="s">
        <v>1120</v>
      </c>
      <c r="D111" s="228"/>
      <c r="E111" s="228"/>
      <c r="F111" s="228"/>
      <c r="G111" s="228"/>
      <c r="H111" s="228"/>
      <c r="I111" s="228"/>
      <c r="J111" s="228"/>
      <c r="K111" s="228"/>
      <c r="L111" s="228"/>
      <c r="M111" s="228"/>
      <c r="N111" s="229"/>
    </row>
    <row r="112" spans="3:14" ht="15.75">
      <c r="C112" s="11" t="s">
        <v>55</v>
      </c>
      <c r="E112" s="12"/>
      <c r="F112" s="12"/>
      <c r="G112" s="12"/>
      <c r="H112" s="12"/>
      <c r="I112" s="24" t="s">
        <v>56</v>
      </c>
      <c r="J112" s="25"/>
      <c r="K112" s="12"/>
      <c r="L112" s="12"/>
      <c r="M112" s="12"/>
      <c r="N112" s="26"/>
    </row>
    <row r="113" spans="3:14">
      <c r="C113" s="217"/>
      <c r="D113" s="218"/>
      <c r="E113" s="218"/>
      <c r="F113" s="218"/>
      <c r="G113" s="218"/>
      <c r="H113" s="218"/>
      <c r="I113" s="218"/>
      <c r="J113" s="218"/>
      <c r="K113" s="218"/>
      <c r="L113" s="218"/>
      <c r="M113" s="218"/>
      <c r="N113" s="219"/>
    </row>
    <row r="114" spans="3:14" ht="15.75">
      <c r="C114" s="15" t="s">
        <v>103</v>
      </c>
      <c r="D114" s="355"/>
      <c r="E114" s="356"/>
      <c r="F114" s="356"/>
      <c r="G114" s="356"/>
      <c r="H114" s="357"/>
      <c r="I114" s="368" t="s">
        <v>542</v>
      </c>
      <c r="J114" s="369"/>
      <c r="K114" s="369"/>
      <c r="L114" s="369"/>
      <c r="M114" s="369"/>
      <c r="N114" s="370"/>
    </row>
    <row r="115" spans="3:14">
      <c r="C115" s="329" t="s">
        <v>59</v>
      </c>
      <c r="D115" s="209" t="s">
        <v>60</v>
      </c>
      <c r="E115" s="209" t="s">
        <v>659</v>
      </c>
      <c r="F115" s="209" t="s">
        <v>62</v>
      </c>
      <c r="G115" s="209" t="s">
        <v>63</v>
      </c>
      <c r="H115" s="209" t="s">
        <v>64</v>
      </c>
      <c r="I115" s="209" t="s">
        <v>65</v>
      </c>
      <c r="J115" s="342" t="s">
        <v>66</v>
      </c>
      <c r="K115" s="343"/>
      <c r="L115" s="344"/>
      <c r="M115" s="209" t="s">
        <v>30</v>
      </c>
      <c r="N115" s="328" t="s">
        <v>67</v>
      </c>
    </row>
    <row r="116" spans="3:14" ht="60">
      <c r="C116" s="359"/>
      <c r="D116" s="292"/>
      <c r="E116" s="292"/>
      <c r="F116" s="292"/>
      <c r="G116" s="292"/>
      <c r="H116" s="292"/>
      <c r="I116" s="292"/>
      <c r="J116" s="17" t="s">
        <v>68</v>
      </c>
      <c r="K116" s="28" t="s">
        <v>999</v>
      </c>
      <c r="L116" s="17" t="s">
        <v>70</v>
      </c>
      <c r="M116" s="292"/>
      <c r="N116" s="360"/>
    </row>
    <row r="117" spans="3:14">
      <c r="C117" s="18">
        <v>1</v>
      </c>
      <c r="D117" s="18" t="s">
        <v>71</v>
      </c>
      <c r="E117" s="158">
        <v>63</v>
      </c>
      <c r="F117" s="158" t="s">
        <v>797</v>
      </c>
      <c r="G117" s="158" t="s">
        <v>705</v>
      </c>
      <c r="H117" s="158">
        <v>435.5</v>
      </c>
      <c r="I117" s="29" t="s">
        <v>276</v>
      </c>
      <c r="J117" s="18">
        <v>1.2</v>
      </c>
      <c r="K117" s="30">
        <v>3.8</v>
      </c>
      <c r="L117" s="18">
        <v>5</v>
      </c>
      <c r="M117" s="16"/>
      <c r="N117" s="16"/>
    </row>
    <row r="118" spans="3:14">
      <c r="C118" s="18">
        <f t="shared" ref="C118:C148" si="2">1+C117</f>
        <v>2</v>
      </c>
      <c r="D118" s="18" t="s">
        <v>71</v>
      </c>
      <c r="E118" s="158">
        <v>90</v>
      </c>
      <c r="F118" s="158" t="s">
        <v>1135</v>
      </c>
      <c r="G118" s="158" t="s">
        <v>309</v>
      </c>
      <c r="H118" s="158">
        <v>8.6999999999999993</v>
      </c>
      <c r="I118" s="29" t="s">
        <v>276</v>
      </c>
      <c r="J118" s="18">
        <v>1.2</v>
      </c>
      <c r="K118" s="30">
        <v>3.8</v>
      </c>
      <c r="L118" s="18">
        <v>5</v>
      </c>
      <c r="M118" s="16"/>
      <c r="N118" s="16"/>
    </row>
    <row r="119" spans="3:14">
      <c r="C119" s="18">
        <f t="shared" si="2"/>
        <v>3</v>
      </c>
      <c r="D119" s="18" t="s">
        <v>71</v>
      </c>
      <c r="E119" s="158">
        <v>63</v>
      </c>
      <c r="F119" s="158" t="s">
        <v>667</v>
      </c>
      <c r="G119" s="158" t="s">
        <v>305</v>
      </c>
      <c r="H119" s="158">
        <v>3</v>
      </c>
      <c r="I119" s="29" t="s">
        <v>276</v>
      </c>
      <c r="J119" s="18">
        <v>1.2</v>
      </c>
      <c r="K119" s="30">
        <v>3.8</v>
      </c>
      <c r="L119" s="18">
        <v>5</v>
      </c>
      <c r="M119" s="16"/>
      <c r="N119" s="16"/>
    </row>
    <row r="120" spans="3:14">
      <c r="C120" s="18">
        <f t="shared" si="2"/>
        <v>4</v>
      </c>
      <c r="D120" s="18" t="s">
        <v>71</v>
      </c>
      <c r="E120" s="158">
        <v>63</v>
      </c>
      <c r="F120" s="158" t="s">
        <v>667</v>
      </c>
      <c r="G120" s="158" t="s">
        <v>305</v>
      </c>
      <c r="H120" s="158">
        <v>3.3</v>
      </c>
      <c r="I120" s="29" t="s">
        <v>276</v>
      </c>
      <c r="J120" s="18">
        <v>1.2</v>
      </c>
      <c r="K120" s="30">
        <v>3.8</v>
      </c>
      <c r="L120" s="18">
        <v>5</v>
      </c>
      <c r="M120" s="16"/>
      <c r="N120" s="16"/>
    </row>
    <row r="121" spans="3:14">
      <c r="C121" s="18">
        <f t="shared" si="2"/>
        <v>5</v>
      </c>
      <c r="D121" s="18" t="s">
        <v>71</v>
      </c>
      <c r="E121" s="158">
        <v>63</v>
      </c>
      <c r="F121" s="158" t="s">
        <v>667</v>
      </c>
      <c r="G121" s="158" t="s">
        <v>305</v>
      </c>
      <c r="H121" s="158">
        <v>12.6</v>
      </c>
      <c r="I121" s="29" t="s">
        <v>276</v>
      </c>
      <c r="J121" s="18">
        <v>1.2</v>
      </c>
      <c r="K121" s="30">
        <v>3.8</v>
      </c>
      <c r="L121" s="18">
        <v>5</v>
      </c>
      <c r="M121" s="16"/>
      <c r="N121" s="16"/>
    </row>
    <row r="122" spans="3:14">
      <c r="C122" s="18">
        <f t="shared" si="2"/>
        <v>6</v>
      </c>
      <c r="D122" s="18" t="s">
        <v>71</v>
      </c>
      <c r="E122" s="158">
        <v>63</v>
      </c>
      <c r="F122" s="158" t="s">
        <v>366</v>
      </c>
      <c r="G122" s="158" t="s">
        <v>425</v>
      </c>
      <c r="H122" s="158">
        <v>483.6</v>
      </c>
      <c r="I122" s="29" t="s">
        <v>276</v>
      </c>
      <c r="J122" s="18">
        <v>1.2</v>
      </c>
      <c r="K122" s="30">
        <v>3.8</v>
      </c>
      <c r="L122" s="18">
        <v>5</v>
      </c>
      <c r="M122" s="16"/>
      <c r="N122" s="16"/>
    </row>
    <row r="123" spans="3:14">
      <c r="C123" s="18">
        <f t="shared" si="2"/>
        <v>7</v>
      </c>
      <c r="D123" s="18" t="s">
        <v>71</v>
      </c>
      <c r="E123" s="158">
        <v>63</v>
      </c>
      <c r="F123" s="158" t="s">
        <v>425</v>
      </c>
      <c r="G123" s="158" t="s">
        <v>699</v>
      </c>
      <c r="H123" s="158">
        <v>6.1</v>
      </c>
      <c r="I123" s="29" t="s">
        <v>276</v>
      </c>
      <c r="J123" s="18">
        <v>1.2</v>
      </c>
      <c r="K123" s="30">
        <v>3.8</v>
      </c>
      <c r="L123" s="18">
        <v>5</v>
      </c>
      <c r="M123" s="16"/>
      <c r="N123" s="16"/>
    </row>
    <row r="124" spans="3:14">
      <c r="C124" s="18">
        <f t="shared" si="2"/>
        <v>8</v>
      </c>
      <c r="D124" s="18" t="s">
        <v>71</v>
      </c>
      <c r="E124" s="158">
        <v>63</v>
      </c>
      <c r="F124" s="158" t="s">
        <v>425</v>
      </c>
      <c r="G124" s="158" t="s">
        <v>699</v>
      </c>
      <c r="H124" s="158">
        <v>324.7</v>
      </c>
      <c r="I124" s="29" t="s">
        <v>276</v>
      </c>
      <c r="J124" s="18">
        <v>1.2</v>
      </c>
      <c r="K124" s="30">
        <v>3.8</v>
      </c>
      <c r="L124" s="18">
        <v>5</v>
      </c>
      <c r="M124" s="16"/>
      <c r="N124" s="16"/>
    </row>
    <row r="125" spans="3:14">
      <c r="C125" s="18">
        <f t="shared" si="2"/>
        <v>9</v>
      </c>
      <c r="D125" s="18" t="s">
        <v>71</v>
      </c>
      <c r="E125" s="158">
        <v>63</v>
      </c>
      <c r="F125" s="158" t="s">
        <v>699</v>
      </c>
      <c r="G125" s="158" t="s">
        <v>536</v>
      </c>
      <c r="H125" s="158">
        <v>5.5</v>
      </c>
      <c r="I125" s="29" t="s">
        <v>276</v>
      </c>
      <c r="J125" s="18">
        <v>1.2</v>
      </c>
      <c r="K125" s="30">
        <v>3.8</v>
      </c>
      <c r="L125" s="18">
        <v>5</v>
      </c>
      <c r="M125" s="16"/>
      <c r="N125" s="16"/>
    </row>
    <row r="126" spans="3:14">
      <c r="C126" s="18">
        <f t="shared" si="2"/>
        <v>10</v>
      </c>
      <c r="D126" s="18" t="s">
        <v>71</v>
      </c>
      <c r="E126" s="158">
        <v>63</v>
      </c>
      <c r="F126" s="158" t="s">
        <v>769</v>
      </c>
      <c r="G126" s="158" t="s">
        <v>305</v>
      </c>
      <c r="H126" s="158">
        <v>6</v>
      </c>
      <c r="I126" s="29" t="s">
        <v>276</v>
      </c>
      <c r="J126" s="18">
        <v>1.2</v>
      </c>
      <c r="K126" s="30">
        <v>3.8</v>
      </c>
      <c r="L126" s="18">
        <v>5</v>
      </c>
      <c r="M126" s="16"/>
      <c r="N126" s="16"/>
    </row>
    <row r="127" spans="3:14">
      <c r="C127" s="18">
        <f t="shared" si="2"/>
        <v>11</v>
      </c>
      <c r="D127" s="18" t="s">
        <v>71</v>
      </c>
      <c r="E127" s="158">
        <v>63</v>
      </c>
      <c r="F127" s="158" t="s">
        <v>769</v>
      </c>
      <c r="G127" s="158" t="s">
        <v>305</v>
      </c>
      <c r="H127" s="158">
        <v>118.9</v>
      </c>
      <c r="I127" s="29" t="s">
        <v>276</v>
      </c>
      <c r="J127" s="18">
        <v>1.2</v>
      </c>
      <c r="K127" s="30">
        <v>3.8</v>
      </c>
      <c r="L127" s="18">
        <v>5</v>
      </c>
      <c r="M127" s="16"/>
      <c r="N127" s="16"/>
    </row>
    <row r="128" spans="3:14">
      <c r="C128" s="18">
        <f t="shared" si="2"/>
        <v>12</v>
      </c>
      <c r="D128" s="18" t="s">
        <v>71</v>
      </c>
      <c r="E128" s="158">
        <v>63</v>
      </c>
      <c r="F128" s="158" t="s">
        <v>187</v>
      </c>
      <c r="G128" s="158" t="s">
        <v>167</v>
      </c>
      <c r="H128" s="158">
        <v>45.8</v>
      </c>
      <c r="I128" s="29" t="s">
        <v>276</v>
      </c>
      <c r="J128" s="18">
        <v>1.2</v>
      </c>
      <c r="K128" s="30">
        <v>3.8</v>
      </c>
      <c r="L128" s="18">
        <v>5</v>
      </c>
      <c r="M128" s="16"/>
      <c r="N128" s="16"/>
    </row>
    <row r="129" spans="3:14">
      <c r="C129" s="18">
        <f t="shared" si="2"/>
        <v>13</v>
      </c>
      <c r="D129" s="18" t="s">
        <v>71</v>
      </c>
      <c r="E129" s="158">
        <v>63</v>
      </c>
      <c r="F129" s="158" t="s">
        <v>167</v>
      </c>
      <c r="G129" s="158" t="s">
        <v>229</v>
      </c>
      <c r="H129" s="158">
        <v>115.6</v>
      </c>
      <c r="I129" s="29" t="s">
        <v>276</v>
      </c>
      <c r="J129" s="18">
        <v>1.2</v>
      </c>
      <c r="K129" s="30">
        <v>3.8</v>
      </c>
      <c r="L129" s="18">
        <v>5</v>
      </c>
      <c r="M129" s="16"/>
      <c r="N129" s="16"/>
    </row>
    <row r="130" spans="3:14">
      <c r="C130" s="18">
        <f t="shared" si="2"/>
        <v>14</v>
      </c>
      <c r="D130" s="18" t="s">
        <v>71</v>
      </c>
      <c r="E130" s="158">
        <v>63</v>
      </c>
      <c r="F130" s="158" t="s">
        <v>175</v>
      </c>
      <c r="G130" s="158" t="s">
        <v>350</v>
      </c>
      <c r="H130" s="158">
        <v>63.4</v>
      </c>
      <c r="I130" s="29" t="s">
        <v>276</v>
      </c>
      <c r="J130" s="18">
        <v>1.2</v>
      </c>
      <c r="K130" s="30">
        <v>3.8</v>
      </c>
      <c r="L130" s="18">
        <v>5</v>
      </c>
      <c r="M130" s="16"/>
      <c r="N130" s="16"/>
    </row>
    <row r="131" spans="3:14">
      <c r="C131" s="18">
        <f t="shared" si="2"/>
        <v>15</v>
      </c>
      <c r="D131" s="18" t="s">
        <v>71</v>
      </c>
      <c r="E131" s="158">
        <v>63</v>
      </c>
      <c r="F131" s="158" t="s">
        <v>167</v>
      </c>
      <c r="G131" s="158" t="s">
        <v>342</v>
      </c>
      <c r="H131" s="158">
        <v>70.8</v>
      </c>
      <c r="I131" s="29" t="s">
        <v>276</v>
      </c>
      <c r="J131" s="18">
        <v>1.2</v>
      </c>
      <c r="K131" s="30">
        <v>3.8</v>
      </c>
      <c r="L131" s="18">
        <v>5</v>
      </c>
      <c r="M131" s="16"/>
      <c r="N131" s="16"/>
    </row>
    <row r="132" spans="3:14">
      <c r="C132" s="18">
        <f t="shared" si="2"/>
        <v>16</v>
      </c>
      <c r="D132" s="18" t="s">
        <v>71</v>
      </c>
      <c r="E132" s="158">
        <v>63</v>
      </c>
      <c r="F132" s="158" t="s">
        <v>167</v>
      </c>
      <c r="G132" s="158" t="s">
        <v>342</v>
      </c>
      <c r="H132" s="158">
        <v>3.2</v>
      </c>
      <c r="I132" s="29" t="s">
        <v>276</v>
      </c>
      <c r="J132" s="18">
        <v>1.2</v>
      </c>
      <c r="K132" s="30">
        <v>3.8</v>
      </c>
      <c r="L132" s="18">
        <v>5</v>
      </c>
      <c r="M132" s="16"/>
      <c r="N132" s="16"/>
    </row>
    <row r="133" spans="3:14">
      <c r="C133" s="18">
        <f t="shared" si="2"/>
        <v>17</v>
      </c>
      <c r="D133" s="18" t="s">
        <v>71</v>
      </c>
      <c r="E133" s="158">
        <v>63</v>
      </c>
      <c r="F133" s="158" t="s">
        <v>187</v>
      </c>
      <c r="G133" s="158" t="s">
        <v>721</v>
      </c>
      <c r="H133" s="158">
        <v>98.2</v>
      </c>
      <c r="I133" s="29" t="s">
        <v>276</v>
      </c>
      <c r="J133" s="18">
        <v>1.2</v>
      </c>
      <c r="K133" s="30">
        <v>3.8</v>
      </c>
      <c r="L133" s="18">
        <v>5</v>
      </c>
      <c r="M133" s="16"/>
      <c r="N133" s="16"/>
    </row>
    <row r="134" spans="3:14">
      <c r="C134" s="18">
        <f t="shared" si="2"/>
        <v>18</v>
      </c>
      <c r="D134" s="18" t="s">
        <v>71</v>
      </c>
      <c r="E134" s="158">
        <v>63</v>
      </c>
      <c r="F134" s="158" t="s">
        <v>779</v>
      </c>
      <c r="G134" s="158" t="s">
        <v>445</v>
      </c>
      <c r="H134" s="158">
        <v>285</v>
      </c>
      <c r="I134" s="29" t="s">
        <v>276</v>
      </c>
      <c r="J134" s="18">
        <v>1.2</v>
      </c>
      <c r="K134" s="30">
        <v>3.8</v>
      </c>
      <c r="L134" s="18">
        <v>5</v>
      </c>
      <c r="M134" s="16"/>
      <c r="N134" s="16"/>
    </row>
    <row r="135" spans="3:14">
      <c r="C135" s="18">
        <f t="shared" si="2"/>
        <v>19</v>
      </c>
      <c r="D135" s="18" t="s">
        <v>71</v>
      </c>
      <c r="E135" s="158">
        <v>63</v>
      </c>
      <c r="F135" s="158" t="s">
        <v>172</v>
      </c>
      <c r="G135" s="158" t="s">
        <v>1130</v>
      </c>
      <c r="H135" s="158">
        <v>101.8</v>
      </c>
      <c r="I135" s="29" t="s">
        <v>276</v>
      </c>
      <c r="J135" s="18">
        <v>1.2</v>
      </c>
      <c r="K135" s="30">
        <v>3.8</v>
      </c>
      <c r="L135" s="18">
        <v>5</v>
      </c>
      <c r="M135" s="16"/>
      <c r="N135" s="16"/>
    </row>
    <row r="136" spans="3:14">
      <c r="C136" s="18">
        <f t="shared" si="2"/>
        <v>20</v>
      </c>
      <c r="D136" s="18" t="s">
        <v>71</v>
      </c>
      <c r="E136" s="158">
        <v>63</v>
      </c>
      <c r="F136" s="158" t="s">
        <v>172</v>
      </c>
      <c r="G136" s="158" t="s">
        <v>1130</v>
      </c>
      <c r="H136" s="158">
        <v>40</v>
      </c>
      <c r="I136" s="29" t="s">
        <v>276</v>
      </c>
      <c r="J136" s="18">
        <v>1.2</v>
      </c>
      <c r="K136" s="30">
        <v>3.8</v>
      </c>
      <c r="L136" s="18">
        <v>5</v>
      </c>
      <c r="M136" s="16"/>
      <c r="N136" s="16"/>
    </row>
    <row r="137" spans="3:14">
      <c r="C137" s="18">
        <f t="shared" si="2"/>
        <v>21</v>
      </c>
      <c r="D137" s="18" t="s">
        <v>71</v>
      </c>
      <c r="E137" s="158">
        <v>63</v>
      </c>
      <c r="F137" s="158" t="s">
        <v>172</v>
      </c>
      <c r="G137" s="158" t="s">
        <v>1130</v>
      </c>
      <c r="H137" s="158">
        <v>1.5</v>
      </c>
      <c r="I137" s="29" t="s">
        <v>276</v>
      </c>
      <c r="J137" s="18">
        <v>1.2</v>
      </c>
      <c r="K137" s="30">
        <v>3.8</v>
      </c>
      <c r="L137" s="18">
        <v>5</v>
      </c>
      <c r="M137" s="16"/>
      <c r="N137" s="16"/>
    </row>
    <row r="138" spans="3:14">
      <c r="C138" s="18">
        <f t="shared" si="2"/>
        <v>22</v>
      </c>
      <c r="D138" s="18" t="s">
        <v>71</v>
      </c>
      <c r="E138" s="158">
        <v>63</v>
      </c>
      <c r="F138" s="158" t="s">
        <v>773</v>
      </c>
      <c r="G138" s="158" t="s">
        <v>762</v>
      </c>
      <c r="H138" s="158">
        <v>151.9</v>
      </c>
      <c r="I138" s="29" t="s">
        <v>276</v>
      </c>
      <c r="J138" s="18">
        <v>1.2</v>
      </c>
      <c r="K138" s="30">
        <v>3.8</v>
      </c>
      <c r="L138" s="18">
        <v>5</v>
      </c>
      <c r="M138" s="16"/>
      <c r="N138" s="16"/>
    </row>
    <row r="139" spans="3:14">
      <c r="C139" s="18">
        <f t="shared" si="2"/>
        <v>23</v>
      </c>
      <c r="D139" s="18" t="s">
        <v>71</v>
      </c>
      <c r="E139" s="158">
        <v>63</v>
      </c>
      <c r="F139" s="158" t="s">
        <v>667</v>
      </c>
      <c r="G139" s="158" t="s">
        <v>669</v>
      </c>
      <c r="H139" s="158">
        <v>223.1</v>
      </c>
      <c r="I139" s="29" t="s">
        <v>276</v>
      </c>
      <c r="J139" s="18">
        <v>1.2</v>
      </c>
      <c r="K139" s="30">
        <v>3.8</v>
      </c>
      <c r="L139" s="18">
        <v>5</v>
      </c>
      <c r="M139" s="16"/>
      <c r="N139" s="16"/>
    </row>
    <row r="140" spans="3:14">
      <c r="C140" s="18">
        <f t="shared" si="2"/>
        <v>24</v>
      </c>
      <c r="D140" s="18" t="s">
        <v>71</v>
      </c>
      <c r="E140" s="158">
        <v>63</v>
      </c>
      <c r="F140" s="158" t="s">
        <v>669</v>
      </c>
      <c r="G140" s="158" t="s">
        <v>1136</v>
      </c>
      <c r="H140" s="158">
        <v>125.3</v>
      </c>
      <c r="I140" s="29" t="s">
        <v>276</v>
      </c>
      <c r="J140" s="18">
        <v>1.2</v>
      </c>
      <c r="K140" s="30">
        <v>3.8</v>
      </c>
      <c r="L140" s="18">
        <v>5</v>
      </c>
      <c r="M140" s="16"/>
      <c r="N140" s="16"/>
    </row>
    <row r="141" spans="3:14">
      <c r="C141" s="18">
        <f t="shared" si="2"/>
        <v>25</v>
      </c>
      <c r="D141" s="18" t="s">
        <v>71</v>
      </c>
      <c r="E141" s="158">
        <v>63</v>
      </c>
      <c r="F141" s="158" t="s">
        <v>1136</v>
      </c>
      <c r="G141" s="158" t="s">
        <v>1137</v>
      </c>
      <c r="H141" s="158">
        <v>9.6999999999999993</v>
      </c>
      <c r="I141" s="29" t="s">
        <v>276</v>
      </c>
      <c r="J141" s="18">
        <v>1.2</v>
      </c>
      <c r="K141" s="30">
        <v>3.8</v>
      </c>
      <c r="L141" s="18">
        <v>5</v>
      </c>
      <c r="M141" s="16"/>
      <c r="N141" s="16"/>
    </row>
    <row r="142" spans="3:14">
      <c r="C142" s="18">
        <f t="shared" si="2"/>
        <v>26</v>
      </c>
      <c r="D142" s="18" t="s">
        <v>71</v>
      </c>
      <c r="E142" s="158">
        <v>63</v>
      </c>
      <c r="F142" s="158" t="s">
        <v>1136</v>
      </c>
      <c r="G142" s="158" t="s">
        <v>179</v>
      </c>
      <c r="H142" s="158">
        <v>93.7</v>
      </c>
      <c r="I142" s="29" t="s">
        <v>276</v>
      </c>
      <c r="J142" s="18">
        <v>1.2</v>
      </c>
      <c r="K142" s="30">
        <v>3.8</v>
      </c>
      <c r="L142" s="18">
        <v>5</v>
      </c>
      <c r="M142" s="16"/>
      <c r="N142" s="16"/>
    </row>
    <row r="143" spans="3:14">
      <c r="C143" s="18">
        <f t="shared" si="2"/>
        <v>27</v>
      </c>
      <c r="D143" s="18" t="s">
        <v>71</v>
      </c>
      <c r="E143" s="158">
        <v>63</v>
      </c>
      <c r="F143" s="158" t="s">
        <v>1136</v>
      </c>
      <c r="G143" s="158" t="s">
        <v>1138</v>
      </c>
      <c r="H143" s="158">
        <v>177.8</v>
      </c>
      <c r="I143" s="29" t="s">
        <v>276</v>
      </c>
      <c r="J143" s="18">
        <v>1.2</v>
      </c>
      <c r="K143" s="30">
        <v>3.8</v>
      </c>
      <c r="L143" s="18">
        <v>5</v>
      </c>
      <c r="M143" s="16"/>
      <c r="N143" s="16"/>
    </row>
    <row r="144" spans="3:14">
      <c r="C144" s="18">
        <f t="shared" si="2"/>
        <v>28</v>
      </c>
      <c r="D144" s="18" t="s">
        <v>71</v>
      </c>
      <c r="E144" s="158">
        <v>63</v>
      </c>
      <c r="F144" s="158" t="s">
        <v>1136</v>
      </c>
      <c r="G144" s="158" t="s">
        <v>1138</v>
      </c>
      <c r="H144" s="55">
        <v>3</v>
      </c>
      <c r="I144" s="29" t="s">
        <v>276</v>
      </c>
      <c r="J144" s="18">
        <v>1.2</v>
      </c>
      <c r="K144" s="30">
        <v>3.8</v>
      </c>
      <c r="L144" s="18">
        <v>5</v>
      </c>
      <c r="M144" s="16"/>
      <c r="N144" s="16"/>
    </row>
    <row r="145" spans="3:14">
      <c r="C145" s="18">
        <f t="shared" si="2"/>
        <v>29</v>
      </c>
      <c r="D145" s="18" t="s">
        <v>71</v>
      </c>
      <c r="E145" s="158">
        <v>63</v>
      </c>
      <c r="F145" s="158" t="s">
        <v>669</v>
      </c>
      <c r="G145" s="158" t="s">
        <v>684</v>
      </c>
      <c r="H145" s="158">
        <v>128.5</v>
      </c>
      <c r="I145" s="29" t="s">
        <v>276</v>
      </c>
      <c r="J145" s="18">
        <v>1.2</v>
      </c>
      <c r="K145" s="30">
        <v>3.8</v>
      </c>
      <c r="L145" s="18">
        <v>5</v>
      </c>
      <c r="M145" s="16"/>
      <c r="N145" s="16"/>
    </row>
    <row r="146" spans="3:14">
      <c r="C146" s="18">
        <f t="shared" si="2"/>
        <v>30</v>
      </c>
      <c r="D146" s="18" t="s">
        <v>71</v>
      </c>
      <c r="E146" s="158">
        <v>63</v>
      </c>
      <c r="F146" s="158" t="s">
        <v>669</v>
      </c>
      <c r="G146" s="158" t="s">
        <v>684</v>
      </c>
      <c r="H146" s="158">
        <v>32.1</v>
      </c>
      <c r="I146" s="29" t="s">
        <v>276</v>
      </c>
      <c r="J146" s="18">
        <v>1.2</v>
      </c>
      <c r="K146" s="30">
        <v>3.8</v>
      </c>
      <c r="L146" s="18">
        <v>5</v>
      </c>
      <c r="M146" s="16"/>
      <c r="N146" s="16"/>
    </row>
    <row r="147" spans="3:14">
      <c r="C147" s="18">
        <f t="shared" si="2"/>
        <v>31</v>
      </c>
      <c r="D147" s="18" t="s">
        <v>71</v>
      </c>
      <c r="E147" s="158">
        <v>63</v>
      </c>
      <c r="F147" s="158" t="s">
        <v>669</v>
      </c>
      <c r="G147" s="158" t="s">
        <v>684</v>
      </c>
      <c r="H147" s="158">
        <v>62.5</v>
      </c>
      <c r="I147" s="29" t="s">
        <v>276</v>
      </c>
      <c r="J147" s="18">
        <v>1.2</v>
      </c>
      <c r="K147" s="30">
        <v>3.8</v>
      </c>
      <c r="L147" s="18">
        <v>5</v>
      </c>
      <c r="M147" s="16"/>
      <c r="N147" s="16"/>
    </row>
    <row r="148" spans="3:14">
      <c r="C148" s="18">
        <f t="shared" si="2"/>
        <v>32</v>
      </c>
      <c r="D148" s="18" t="s">
        <v>71</v>
      </c>
      <c r="E148" s="158">
        <v>63</v>
      </c>
      <c r="F148" s="158" t="s">
        <v>669</v>
      </c>
      <c r="G148" s="158" t="s">
        <v>684</v>
      </c>
      <c r="H148" s="158">
        <v>158.4</v>
      </c>
      <c r="I148" s="29" t="s">
        <v>276</v>
      </c>
      <c r="J148" s="18">
        <v>1.2</v>
      </c>
      <c r="K148" s="30">
        <v>3.8</v>
      </c>
      <c r="L148" s="18">
        <v>5</v>
      </c>
      <c r="M148" s="16"/>
      <c r="N148" s="16"/>
    </row>
    <row r="149" spans="3:14">
      <c r="C149" s="18"/>
      <c r="D149" s="18"/>
      <c r="E149" s="29"/>
      <c r="F149" s="29"/>
      <c r="G149" s="29"/>
      <c r="H149" s="29"/>
      <c r="I149" s="29"/>
      <c r="J149" s="18"/>
      <c r="K149" s="30"/>
      <c r="L149" s="18"/>
      <c r="M149" s="16"/>
      <c r="N149" s="16"/>
    </row>
    <row r="150" spans="3:14">
      <c r="C150" s="18"/>
      <c r="D150" s="18"/>
      <c r="E150" s="29"/>
      <c r="F150" s="29"/>
      <c r="G150" s="29"/>
      <c r="H150" s="29"/>
      <c r="I150" s="29"/>
      <c r="J150" s="18"/>
      <c r="K150" s="30"/>
      <c r="L150" s="18"/>
      <c r="M150" s="16"/>
      <c r="N150" s="16"/>
    </row>
    <row r="151" spans="3:14">
      <c r="C151" s="374"/>
      <c r="D151" s="374"/>
      <c r="E151" s="374"/>
      <c r="F151" s="374"/>
      <c r="G151" s="374"/>
      <c r="H151" s="374"/>
      <c r="I151" s="374"/>
      <c r="J151" s="374"/>
      <c r="K151" s="374"/>
      <c r="L151" s="374"/>
      <c r="M151" s="374"/>
      <c r="N151" s="374"/>
    </row>
    <row r="152" spans="3:14">
      <c r="C152" s="324"/>
      <c r="D152" s="324"/>
      <c r="E152" s="325" t="s">
        <v>86</v>
      </c>
      <c r="F152" s="325"/>
      <c r="G152" s="325"/>
      <c r="H152" s="325"/>
      <c r="I152" s="325" t="s">
        <v>87</v>
      </c>
      <c r="J152" s="325"/>
      <c r="K152" s="325"/>
      <c r="L152" s="325" t="s">
        <v>39</v>
      </c>
      <c r="M152" s="325"/>
      <c r="N152" s="325"/>
    </row>
    <row r="153" spans="3:14">
      <c r="C153" s="295" t="s">
        <v>40</v>
      </c>
      <c r="D153" s="295"/>
      <c r="E153" s="317"/>
      <c r="F153" s="317"/>
      <c r="G153" s="317"/>
      <c r="H153" s="317"/>
      <c r="I153" s="317"/>
      <c r="J153" s="317"/>
      <c r="K153" s="317"/>
      <c r="L153" s="317"/>
      <c r="M153" s="317"/>
      <c r="N153" s="317"/>
    </row>
    <row r="154" spans="3:14">
      <c r="C154" s="295" t="s">
        <v>41</v>
      </c>
      <c r="D154" s="295"/>
      <c r="E154" s="317"/>
      <c r="F154" s="317"/>
      <c r="G154" s="317"/>
      <c r="H154" s="317"/>
      <c r="I154" s="317"/>
      <c r="J154" s="317"/>
      <c r="K154" s="317"/>
      <c r="L154" s="317"/>
      <c r="M154" s="317"/>
      <c r="N154" s="317"/>
    </row>
    <row r="155" spans="3:14">
      <c r="C155" s="295" t="s">
        <v>42</v>
      </c>
      <c r="D155" s="295"/>
      <c r="E155" s="317"/>
      <c r="F155" s="317"/>
      <c r="G155" s="317"/>
      <c r="H155" s="317"/>
      <c r="I155" s="317"/>
      <c r="J155" s="317"/>
      <c r="K155" s="317"/>
      <c r="L155" s="317"/>
      <c r="M155" s="317"/>
      <c r="N155" s="317"/>
    </row>
    <row r="156" spans="3:14">
      <c r="C156" s="295" t="s">
        <v>43</v>
      </c>
      <c r="D156" s="295"/>
      <c r="E156" s="315"/>
      <c r="F156" s="316"/>
      <c r="G156" s="316"/>
      <c r="H156" s="316"/>
      <c r="I156" s="317"/>
      <c r="J156" s="317"/>
      <c r="K156" s="317"/>
      <c r="L156" s="317"/>
      <c r="M156" s="317"/>
      <c r="N156" s="317"/>
    </row>
    <row r="158" spans="3:14">
      <c r="C158" s="206"/>
      <c r="D158" s="211" t="s">
        <v>44</v>
      </c>
      <c r="E158" s="212"/>
      <c r="F158" s="212"/>
      <c r="G158" s="212"/>
      <c r="H158" s="212"/>
      <c r="I158" s="212"/>
      <c r="J158" s="212"/>
      <c r="K158" s="212"/>
      <c r="L158" s="20"/>
      <c r="M158" s="20"/>
      <c r="N158" s="21"/>
    </row>
    <row r="159" spans="3:14">
      <c r="C159" s="207"/>
      <c r="D159" s="214"/>
      <c r="E159" s="215"/>
      <c r="F159" s="215"/>
      <c r="G159" s="215"/>
      <c r="H159" s="215"/>
      <c r="I159" s="215"/>
      <c r="J159" s="215"/>
      <c r="K159" s="215"/>
      <c r="N159" s="22"/>
    </row>
    <row r="160" spans="3:14">
      <c r="C160" s="207"/>
      <c r="D160" s="214"/>
      <c r="E160" s="215"/>
      <c r="F160" s="215"/>
      <c r="G160" s="215"/>
      <c r="H160" s="215"/>
      <c r="I160" s="215"/>
      <c r="J160" s="215"/>
      <c r="K160" s="215"/>
      <c r="N160" s="22"/>
    </row>
    <row r="161" spans="3:15">
      <c r="C161" s="207"/>
      <c r="D161" s="289"/>
      <c r="E161" s="290"/>
      <c r="F161" s="290"/>
      <c r="G161" s="290"/>
      <c r="H161" s="290"/>
      <c r="I161" s="290"/>
      <c r="J161" s="290"/>
      <c r="K161" s="290"/>
      <c r="N161" s="22"/>
    </row>
    <row r="162" spans="3:15" ht="16.5">
      <c r="C162" s="223" t="s">
        <v>45</v>
      </c>
      <c r="D162" s="224"/>
      <c r="E162" s="7" t="s">
        <v>46</v>
      </c>
      <c r="F162" s="8"/>
      <c r="G162" s="8"/>
      <c r="H162" s="8"/>
      <c r="I162" s="8"/>
      <c r="J162" s="8"/>
      <c r="K162" s="8"/>
      <c r="L162" s="8"/>
      <c r="M162" s="8"/>
      <c r="N162" s="23"/>
    </row>
    <row r="163" spans="3:15" ht="16.5">
      <c r="C163" s="223" t="s">
        <v>48</v>
      </c>
      <c r="D163" s="224"/>
      <c r="E163" s="7" t="s">
        <v>49</v>
      </c>
      <c r="F163" s="8"/>
      <c r="G163" s="8"/>
      <c r="H163" s="8"/>
      <c r="I163" s="8"/>
      <c r="J163" s="8"/>
      <c r="K163" s="8"/>
      <c r="L163" s="8"/>
      <c r="M163" s="8"/>
      <c r="N163" s="23"/>
    </row>
    <row r="164" spans="3:15" ht="16.5">
      <c r="C164" s="225" t="s">
        <v>50</v>
      </c>
      <c r="D164" s="226"/>
      <c r="E164" s="7" t="s">
        <v>51</v>
      </c>
      <c r="F164" s="8"/>
      <c r="G164" s="8"/>
      <c r="H164" s="8"/>
      <c r="I164" s="8"/>
      <c r="J164" s="8"/>
      <c r="K164" s="8"/>
      <c r="L164" s="8"/>
      <c r="M164" s="8"/>
      <c r="N164" s="23"/>
    </row>
    <row r="165" spans="3:15" ht="16.5">
      <c r="C165" s="223" t="s">
        <v>52</v>
      </c>
      <c r="D165" s="224"/>
      <c r="E165" s="7" t="s">
        <v>53</v>
      </c>
      <c r="F165" s="8"/>
      <c r="G165" s="8"/>
      <c r="H165" s="8"/>
      <c r="I165" s="8"/>
      <c r="J165" s="8"/>
      <c r="K165" s="8"/>
      <c r="L165" s="8"/>
      <c r="M165" s="8"/>
      <c r="N165" s="23"/>
    </row>
    <row r="166" spans="3:15" ht="15.75">
      <c r="C166" s="227" t="s">
        <v>1120</v>
      </c>
      <c r="D166" s="228"/>
      <c r="E166" s="228"/>
      <c r="F166" s="228"/>
      <c r="G166" s="228"/>
      <c r="H166" s="228"/>
      <c r="I166" s="228"/>
      <c r="J166" s="228"/>
      <c r="K166" s="228"/>
      <c r="L166" s="228"/>
      <c r="M166" s="228"/>
      <c r="N166" s="229"/>
    </row>
    <row r="167" spans="3:15" ht="15.75">
      <c r="C167" s="11" t="s">
        <v>55</v>
      </c>
      <c r="E167" s="12"/>
      <c r="F167" s="12"/>
      <c r="G167" s="12"/>
      <c r="H167" s="12"/>
      <c r="I167" s="24" t="s">
        <v>56</v>
      </c>
      <c r="J167" s="25"/>
      <c r="K167" s="12"/>
      <c r="L167" s="12"/>
      <c r="M167" s="12"/>
      <c r="N167" s="26"/>
    </row>
    <row r="168" spans="3:15">
      <c r="C168" s="217"/>
      <c r="D168" s="218"/>
      <c r="E168" s="218"/>
      <c r="F168" s="218"/>
      <c r="G168" s="218"/>
      <c r="H168" s="218"/>
      <c r="I168" s="218"/>
      <c r="J168" s="218"/>
      <c r="K168" s="218"/>
      <c r="L168" s="218"/>
      <c r="M168" s="218"/>
      <c r="N168" s="219"/>
    </row>
    <row r="169" spans="3:15" ht="15.75">
      <c r="C169" s="15" t="s">
        <v>103</v>
      </c>
      <c r="D169" s="355"/>
      <c r="E169" s="356"/>
      <c r="F169" s="356"/>
      <c r="G169" s="356"/>
      <c r="H169" s="357"/>
      <c r="I169" s="368" t="s">
        <v>542</v>
      </c>
      <c r="J169" s="369"/>
      <c r="K169" s="369"/>
      <c r="L169" s="369"/>
      <c r="M169" s="369"/>
      <c r="N169" s="370"/>
    </row>
    <row r="170" spans="3:15">
      <c r="C170" s="329" t="s">
        <v>59</v>
      </c>
      <c r="D170" s="209" t="s">
        <v>60</v>
      </c>
      <c r="E170" s="209" t="s">
        <v>659</v>
      </c>
      <c r="F170" s="209" t="s">
        <v>62</v>
      </c>
      <c r="G170" s="209" t="s">
        <v>63</v>
      </c>
      <c r="H170" s="209" t="s">
        <v>64</v>
      </c>
      <c r="I170" s="209" t="s">
        <v>65</v>
      </c>
      <c r="J170" s="342" t="s">
        <v>66</v>
      </c>
      <c r="K170" s="343"/>
      <c r="L170" s="344"/>
      <c r="M170" s="209" t="s">
        <v>30</v>
      </c>
      <c r="N170" s="328" t="s">
        <v>67</v>
      </c>
    </row>
    <row r="171" spans="3:15" ht="60">
      <c r="C171" s="359"/>
      <c r="D171" s="292"/>
      <c r="E171" s="292"/>
      <c r="F171" s="292"/>
      <c r="G171" s="292"/>
      <c r="H171" s="292"/>
      <c r="I171" s="292"/>
      <c r="J171" s="17" t="s">
        <v>68</v>
      </c>
      <c r="K171" s="28" t="s">
        <v>999</v>
      </c>
      <c r="L171" s="17" t="s">
        <v>70</v>
      </c>
      <c r="M171" s="292"/>
      <c r="N171" s="360"/>
    </row>
    <row r="172" spans="3:15">
      <c r="C172" s="18">
        <v>1</v>
      </c>
      <c r="D172" s="18" t="s">
        <v>71</v>
      </c>
      <c r="E172" s="158">
        <v>63</v>
      </c>
      <c r="F172" s="158" t="s">
        <v>667</v>
      </c>
      <c r="G172" s="158" t="s">
        <v>547</v>
      </c>
      <c r="H172" s="158">
        <v>550.6</v>
      </c>
      <c r="I172" s="29" t="s">
        <v>106</v>
      </c>
      <c r="J172" s="18">
        <v>1.1000000000000001</v>
      </c>
      <c r="K172" s="30">
        <v>4.0999999999999996</v>
      </c>
      <c r="L172" s="18">
        <v>5.2</v>
      </c>
      <c r="M172" s="16"/>
      <c r="N172" s="16"/>
      <c r="O172" s="29"/>
    </row>
    <row r="173" spans="3:15">
      <c r="C173" s="18">
        <f t="shared" ref="C173:C205" si="3">1+C172</f>
        <v>2</v>
      </c>
      <c r="D173" s="18" t="s">
        <v>71</v>
      </c>
      <c r="E173" s="158">
        <v>63</v>
      </c>
      <c r="F173" s="158" t="s">
        <v>547</v>
      </c>
      <c r="G173" s="158" t="s">
        <v>795</v>
      </c>
      <c r="H173" s="158">
        <v>156.4</v>
      </c>
      <c r="I173" s="29" t="s">
        <v>106</v>
      </c>
      <c r="J173" s="18">
        <v>1.1000000000000001</v>
      </c>
      <c r="K173" s="30">
        <v>4.0999999999999996</v>
      </c>
      <c r="L173" s="18">
        <v>5.2</v>
      </c>
      <c r="M173" s="16"/>
      <c r="N173" s="16"/>
      <c r="O173" s="29"/>
    </row>
    <row r="174" spans="3:15">
      <c r="C174" s="18">
        <f t="shared" si="3"/>
        <v>3</v>
      </c>
      <c r="D174" s="18" t="s">
        <v>71</v>
      </c>
      <c r="E174" s="158">
        <v>63</v>
      </c>
      <c r="F174" s="158" t="s">
        <v>693</v>
      </c>
      <c r="G174" s="158" t="s">
        <v>1088</v>
      </c>
      <c r="H174" s="158">
        <v>11.2</v>
      </c>
      <c r="I174" s="29" t="s">
        <v>106</v>
      </c>
      <c r="J174" s="18">
        <v>1.1000000000000001</v>
      </c>
      <c r="K174" s="30">
        <v>4.0999999999999996</v>
      </c>
      <c r="L174" s="18">
        <v>5.2</v>
      </c>
      <c r="M174" s="16"/>
      <c r="N174" s="16"/>
      <c r="O174" s="29"/>
    </row>
    <row r="175" spans="3:15">
      <c r="C175" s="18">
        <f t="shared" si="3"/>
        <v>4</v>
      </c>
      <c r="D175" s="18" t="s">
        <v>71</v>
      </c>
      <c r="E175" s="158">
        <v>63</v>
      </c>
      <c r="F175" s="158" t="s">
        <v>1088</v>
      </c>
      <c r="G175" s="158" t="s">
        <v>1139</v>
      </c>
      <c r="H175" s="158">
        <v>13.4</v>
      </c>
      <c r="I175" s="29" t="s">
        <v>106</v>
      </c>
      <c r="J175" s="18">
        <v>1.1000000000000001</v>
      </c>
      <c r="K175" s="30">
        <v>4.0999999999999996</v>
      </c>
      <c r="L175" s="18">
        <v>5.2</v>
      </c>
      <c r="M175" s="16"/>
      <c r="N175" s="16"/>
      <c r="O175" s="29"/>
    </row>
    <row r="176" spans="3:15">
      <c r="C176" s="18">
        <f t="shared" si="3"/>
        <v>5</v>
      </c>
      <c r="D176" s="18" t="s">
        <v>71</v>
      </c>
      <c r="E176" s="158">
        <v>63</v>
      </c>
      <c r="F176" s="158" t="s">
        <v>1088</v>
      </c>
      <c r="G176" s="158" t="s">
        <v>704</v>
      </c>
      <c r="H176" s="158">
        <v>3.4</v>
      </c>
      <c r="I176" s="29" t="s">
        <v>106</v>
      </c>
      <c r="J176" s="18">
        <v>1.1000000000000001</v>
      </c>
      <c r="K176" s="30">
        <v>4.0999999999999996</v>
      </c>
      <c r="L176" s="18">
        <v>5.2</v>
      </c>
      <c r="M176" s="16"/>
      <c r="N176" s="16"/>
      <c r="O176" s="29"/>
    </row>
    <row r="177" spans="3:15">
      <c r="C177" s="18">
        <f t="shared" si="3"/>
        <v>6</v>
      </c>
      <c r="D177" s="18" t="s">
        <v>71</v>
      </c>
      <c r="E177" s="158">
        <v>63</v>
      </c>
      <c r="F177" s="158" t="s">
        <v>1088</v>
      </c>
      <c r="G177" s="158" t="s">
        <v>704</v>
      </c>
      <c r="H177" s="158">
        <v>6.2</v>
      </c>
      <c r="I177" s="29" t="s">
        <v>106</v>
      </c>
      <c r="J177" s="18">
        <v>1.1000000000000001</v>
      </c>
      <c r="K177" s="30">
        <v>4.0999999999999996</v>
      </c>
      <c r="L177" s="18">
        <v>5.2</v>
      </c>
      <c r="M177" s="16"/>
      <c r="N177" s="16"/>
      <c r="O177" s="29"/>
    </row>
    <row r="178" spans="3:15">
      <c r="C178" s="18">
        <f t="shared" si="3"/>
        <v>7</v>
      </c>
      <c r="D178" s="18" t="s">
        <v>71</v>
      </c>
      <c r="E178" s="158">
        <v>63</v>
      </c>
      <c r="F178" s="158" t="s">
        <v>1088</v>
      </c>
      <c r="G178" s="158" t="s">
        <v>704</v>
      </c>
      <c r="H178" s="158">
        <v>17.600000000000001</v>
      </c>
      <c r="I178" s="29" t="s">
        <v>106</v>
      </c>
      <c r="J178" s="18">
        <v>1.1000000000000001</v>
      </c>
      <c r="K178" s="30">
        <v>4.0999999999999996</v>
      </c>
      <c r="L178" s="18">
        <v>5.2</v>
      </c>
      <c r="M178" s="16"/>
      <c r="N178" s="16"/>
      <c r="O178" s="29"/>
    </row>
    <row r="179" spans="3:15">
      <c r="C179" s="18">
        <f t="shared" si="3"/>
        <v>8</v>
      </c>
      <c r="D179" s="18" t="s">
        <v>71</v>
      </c>
      <c r="E179" s="158">
        <v>63</v>
      </c>
      <c r="F179" s="158" t="s">
        <v>83</v>
      </c>
      <c r="G179" s="158" t="s">
        <v>775</v>
      </c>
      <c r="H179" s="158">
        <v>294</v>
      </c>
      <c r="I179" s="29" t="s">
        <v>106</v>
      </c>
      <c r="J179" s="18">
        <v>1.1000000000000001</v>
      </c>
      <c r="K179" s="30">
        <v>4.0999999999999996</v>
      </c>
      <c r="L179" s="18">
        <v>5.2</v>
      </c>
      <c r="M179" s="16"/>
      <c r="N179" s="16"/>
      <c r="O179" s="29"/>
    </row>
    <row r="180" spans="3:15">
      <c r="C180" s="18">
        <f t="shared" si="3"/>
        <v>9</v>
      </c>
      <c r="D180" s="18" t="s">
        <v>71</v>
      </c>
      <c r="E180" s="158">
        <v>110</v>
      </c>
      <c r="F180" s="158" t="s">
        <v>793</v>
      </c>
      <c r="G180" s="158" t="s">
        <v>335</v>
      </c>
      <c r="H180" s="158">
        <v>42.5</v>
      </c>
      <c r="I180" s="29" t="s">
        <v>106</v>
      </c>
      <c r="J180" s="18">
        <v>1.1000000000000001</v>
      </c>
      <c r="K180" s="30">
        <v>4.0999999999999996</v>
      </c>
      <c r="L180" s="18">
        <v>5.2</v>
      </c>
      <c r="M180" s="16"/>
      <c r="N180" s="16"/>
      <c r="O180" s="29"/>
    </row>
    <row r="181" spans="3:15">
      <c r="C181" s="18">
        <f t="shared" si="3"/>
        <v>10</v>
      </c>
      <c r="D181" s="18" t="s">
        <v>71</v>
      </c>
      <c r="E181" s="158">
        <v>110</v>
      </c>
      <c r="F181" s="158" t="s">
        <v>1041</v>
      </c>
      <c r="G181" s="158" t="s">
        <v>793</v>
      </c>
      <c r="H181" s="158">
        <v>3.2</v>
      </c>
      <c r="I181" s="29" t="s">
        <v>106</v>
      </c>
      <c r="J181" s="18">
        <v>1.1000000000000001</v>
      </c>
      <c r="K181" s="30">
        <v>4.0999999999999996</v>
      </c>
      <c r="L181" s="18">
        <v>5.2</v>
      </c>
      <c r="M181" s="16"/>
      <c r="N181" s="16"/>
      <c r="O181" s="29"/>
    </row>
    <row r="182" spans="3:15">
      <c r="C182" s="18">
        <f t="shared" si="3"/>
        <v>11</v>
      </c>
      <c r="D182" s="18" t="s">
        <v>71</v>
      </c>
      <c r="E182" s="158">
        <v>110</v>
      </c>
      <c r="F182" s="158" t="s">
        <v>1041</v>
      </c>
      <c r="G182" s="158" t="s">
        <v>793</v>
      </c>
      <c r="H182" s="158">
        <v>3.4</v>
      </c>
      <c r="I182" s="29" t="s">
        <v>106</v>
      </c>
      <c r="J182" s="18">
        <v>1.1000000000000001</v>
      </c>
      <c r="K182" s="30">
        <v>4.0999999999999996</v>
      </c>
      <c r="L182" s="18">
        <v>5.2</v>
      </c>
      <c r="M182" s="16"/>
      <c r="N182" s="16"/>
      <c r="O182" s="29"/>
    </row>
    <row r="183" spans="3:15">
      <c r="C183" s="18">
        <f t="shared" si="3"/>
        <v>12</v>
      </c>
      <c r="D183" s="18" t="s">
        <v>71</v>
      </c>
      <c r="E183" s="158">
        <v>110</v>
      </c>
      <c r="F183" s="158" t="s">
        <v>1041</v>
      </c>
      <c r="G183" s="158" t="s">
        <v>793</v>
      </c>
      <c r="H183" s="158">
        <v>7.6</v>
      </c>
      <c r="I183" s="29" t="s">
        <v>106</v>
      </c>
      <c r="J183" s="18">
        <v>1.1000000000000001</v>
      </c>
      <c r="K183" s="30">
        <v>4.0999999999999996</v>
      </c>
      <c r="L183" s="18">
        <v>5.2</v>
      </c>
      <c r="M183" s="16"/>
      <c r="N183" s="16"/>
      <c r="O183" s="29"/>
    </row>
    <row r="184" spans="3:15">
      <c r="C184" s="18">
        <f t="shared" si="3"/>
        <v>13</v>
      </c>
      <c r="D184" s="18" t="s">
        <v>71</v>
      </c>
      <c r="E184" s="158">
        <v>110</v>
      </c>
      <c r="F184" s="158" t="s">
        <v>1041</v>
      </c>
      <c r="G184" s="158" t="s">
        <v>793</v>
      </c>
      <c r="H184" s="158">
        <v>30</v>
      </c>
      <c r="I184" s="29" t="s">
        <v>106</v>
      </c>
      <c r="J184" s="18">
        <v>1.1000000000000001</v>
      </c>
      <c r="K184" s="30">
        <v>4.0999999999999996</v>
      </c>
      <c r="L184" s="18">
        <v>5.2</v>
      </c>
      <c r="M184" s="16"/>
      <c r="N184" s="16"/>
      <c r="O184" s="29"/>
    </row>
    <row r="185" spans="3:15">
      <c r="C185" s="18">
        <f t="shared" si="3"/>
        <v>14</v>
      </c>
      <c r="D185" s="18" t="s">
        <v>71</v>
      </c>
      <c r="E185" s="158">
        <v>110</v>
      </c>
      <c r="F185" s="158" t="s">
        <v>1041</v>
      </c>
      <c r="G185" s="158" t="s">
        <v>793</v>
      </c>
      <c r="H185" s="158">
        <v>131.80000000000001</v>
      </c>
      <c r="I185" s="29" t="s">
        <v>106</v>
      </c>
      <c r="J185" s="18">
        <v>1.1000000000000001</v>
      </c>
      <c r="K185" s="30">
        <v>4.0999999999999996</v>
      </c>
      <c r="L185" s="18">
        <v>5.2</v>
      </c>
      <c r="M185" s="16"/>
      <c r="N185" s="16"/>
      <c r="O185" s="29"/>
    </row>
    <row r="186" spans="3:15">
      <c r="C186" s="18">
        <f t="shared" si="3"/>
        <v>15</v>
      </c>
      <c r="D186" s="18" t="s">
        <v>71</v>
      </c>
      <c r="E186" s="158">
        <v>63</v>
      </c>
      <c r="F186" s="158" t="s">
        <v>1055</v>
      </c>
      <c r="G186" s="158" t="s">
        <v>1107</v>
      </c>
      <c r="H186" s="158">
        <v>4.3</v>
      </c>
      <c r="I186" s="29" t="s">
        <v>106</v>
      </c>
      <c r="J186" s="18">
        <v>1.1000000000000001</v>
      </c>
      <c r="K186" s="30">
        <v>4.0999999999999996</v>
      </c>
      <c r="L186" s="18">
        <v>5.2</v>
      </c>
      <c r="M186" s="16"/>
      <c r="N186" s="16"/>
      <c r="O186" s="29"/>
    </row>
    <row r="187" spans="3:15">
      <c r="C187" s="18">
        <f t="shared" si="3"/>
        <v>16</v>
      </c>
      <c r="D187" s="18" t="s">
        <v>71</v>
      </c>
      <c r="E187" s="158">
        <v>63</v>
      </c>
      <c r="F187" s="158" t="s">
        <v>1055</v>
      </c>
      <c r="G187" s="158" t="s">
        <v>1107</v>
      </c>
      <c r="H187" s="158">
        <v>9.6999999999999993</v>
      </c>
      <c r="I187" s="29" t="s">
        <v>106</v>
      </c>
      <c r="J187" s="18">
        <v>1.1000000000000001</v>
      </c>
      <c r="K187" s="30">
        <v>4.0999999999999996</v>
      </c>
      <c r="L187" s="18">
        <v>5.2</v>
      </c>
      <c r="M187" s="16"/>
      <c r="N187" s="16"/>
      <c r="O187" s="29"/>
    </row>
    <row r="188" spans="3:15">
      <c r="C188" s="18">
        <f t="shared" si="3"/>
        <v>17</v>
      </c>
      <c r="D188" s="18" t="s">
        <v>71</v>
      </c>
      <c r="E188" s="158">
        <v>63</v>
      </c>
      <c r="F188" s="158" t="s">
        <v>1055</v>
      </c>
      <c r="G188" s="158" t="s">
        <v>1107</v>
      </c>
      <c r="H188" s="158">
        <v>11.2</v>
      </c>
      <c r="I188" s="29" t="s">
        <v>106</v>
      </c>
      <c r="J188" s="18">
        <v>1.1000000000000001</v>
      </c>
      <c r="K188" s="30">
        <v>4.0999999999999996</v>
      </c>
      <c r="L188" s="18">
        <v>5.2</v>
      </c>
      <c r="M188" s="16"/>
      <c r="N188" s="16"/>
      <c r="O188" s="29"/>
    </row>
    <row r="189" spans="3:15">
      <c r="C189" s="18">
        <f t="shared" si="3"/>
        <v>18</v>
      </c>
      <c r="D189" s="18" t="s">
        <v>71</v>
      </c>
      <c r="E189" s="158">
        <v>63</v>
      </c>
      <c r="F189" s="158" t="s">
        <v>1055</v>
      </c>
      <c r="G189" s="158" t="s">
        <v>1107</v>
      </c>
      <c r="H189" s="158">
        <v>418.7</v>
      </c>
      <c r="I189" s="29" t="s">
        <v>106</v>
      </c>
      <c r="J189" s="18">
        <v>1.1000000000000001</v>
      </c>
      <c r="K189" s="30">
        <v>4.0999999999999996</v>
      </c>
      <c r="L189" s="18">
        <v>5.2</v>
      </c>
      <c r="M189" s="16"/>
      <c r="N189" s="16"/>
      <c r="O189" s="29"/>
    </row>
    <row r="190" spans="3:15">
      <c r="C190" s="18">
        <f t="shared" si="3"/>
        <v>19</v>
      </c>
      <c r="D190" s="18" t="s">
        <v>71</v>
      </c>
      <c r="E190" s="158">
        <v>63</v>
      </c>
      <c r="F190" s="158" t="s">
        <v>791</v>
      </c>
      <c r="G190" s="158" t="s">
        <v>1055</v>
      </c>
      <c r="H190" s="158">
        <v>8.1</v>
      </c>
      <c r="I190" s="29" t="s">
        <v>106</v>
      </c>
      <c r="J190" s="18">
        <v>1.1000000000000001</v>
      </c>
      <c r="K190" s="30">
        <v>4.0999999999999996</v>
      </c>
      <c r="L190" s="18">
        <v>5.2</v>
      </c>
      <c r="M190" s="16"/>
      <c r="N190" s="16"/>
      <c r="O190" s="29"/>
    </row>
    <row r="191" spans="3:15">
      <c r="C191" s="18">
        <f t="shared" si="3"/>
        <v>20</v>
      </c>
      <c r="D191" s="18" t="s">
        <v>71</v>
      </c>
      <c r="E191" s="158">
        <v>63</v>
      </c>
      <c r="F191" s="158" t="s">
        <v>1055</v>
      </c>
      <c r="G191" s="158" t="s">
        <v>691</v>
      </c>
      <c r="H191" s="158">
        <v>118.7</v>
      </c>
      <c r="I191" s="29" t="s">
        <v>106</v>
      </c>
      <c r="J191" s="18">
        <v>1.1000000000000001</v>
      </c>
      <c r="K191" s="30">
        <v>4.0999999999999996</v>
      </c>
      <c r="L191" s="18">
        <v>5.2</v>
      </c>
      <c r="M191" s="16"/>
      <c r="N191" s="16"/>
      <c r="O191" s="29"/>
    </row>
    <row r="192" spans="3:15">
      <c r="C192" s="18">
        <f t="shared" si="3"/>
        <v>21</v>
      </c>
      <c r="D192" s="18" t="s">
        <v>71</v>
      </c>
      <c r="E192" s="158">
        <v>63</v>
      </c>
      <c r="F192" s="158" t="s">
        <v>691</v>
      </c>
      <c r="G192" s="158" t="s">
        <v>81</v>
      </c>
      <c r="H192" s="158">
        <v>9.3000000000000007</v>
      </c>
      <c r="I192" s="29" t="s">
        <v>106</v>
      </c>
      <c r="J192" s="18">
        <v>1.1000000000000001</v>
      </c>
      <c r="K192" s="30">
        <v>4.0999999999999996</v>
      </c>
      <c r="L192" s="18">
        <v>5.2</v>
      </c>
      <c r="M192" s="16"/>
      <c r="N192" s="16"/>
      <c r="O192" s="29"/>
    </row>
    <row r="193" spans="3:15">
      <c r="C193" s="18">
        <f t="shared" si="3"/>
        <v>22</v>
      </c>
      <c r="D193" s="18" t="s">
        <v>71</v>
      </c>
      <c r="E193" s="158">
        <v>63</v>
      </c>
      <c r="F193" s="158" t="s">
        <v>1140</v>
      </c>
      <c r="G193" s="158" t="s">
        <v>1141</v>
      </c>
      <c r="H193" s="158">
        <v>98.6</v>
      </c>
      <c r="I193" s="29" t="s">
        <v>106</v>
      </c>
      <c r="J193" s="18">
        <v>1.1000000000000001</v>
      </c>
      <c r="K193" s="30">
        <v>4.0999999999999996</v>
      </c>
      <c r="L193" s="18">
        <v>5.2</v>
      </c>
      <c r="M193" s="16"/>
      <c r="N193" s="16"/>
      <c r="O193" s="29"/>
    </row>
    <row r="194" spans="3:15">
      <c r="C194" s="18">
        <f t="shared" si="3"/>
        <v>23</v>
      </c>
      <c r="D194" s="18" t="s">
        <v>71</v>
      </c>
      <c r="E194" s="158">
        <v>63</v>
      </c>
      <c r="F194" s="158" t="s">
        <v>691</v>
      </c>
      <c r="G194" s="158" t="s">
        <v>773</v>
      </c>
      <c r="H194" s="158">
        <v>131</v>
      </c>
      <c r="I194" s="29" t="s">
        <v>106</v>
      </c>
      <c r="J194" s="18">
        <v>1.1000000000000001</v>
      </c>
      <c r="K194" s="30">
        <v>4.0999999999999996</v>
      </c>
      <c r="L194" s="18">
        <v>5.2</v>
      </c>
      <c r="M194" s="16"/>
      <c r="N194" s="16"/>
      <c r="O194" s="29"/>
    </row>
    <row r="195" spans="3:15">
      <c r="C195" s="18">
        <f t="shared" si="3"/>
        <v>24</v>
      </c>
      <c r="D195" s="18" t="s">
        <v>71</v>
      </c>
      <c r="E195" s="158">
        <v>63</v>
      </c>
      <c r="F195" s="158" t="s">
        <v>762</v>
      </c>
      <c r="G195" s="158" t="s">
        <v>120</v>
      </c>
      <c r="H195" s="158">
        <v>2.7</v>
      </c>
      <c r="I195" s="29" t="s">
        <v>106</v>
      </c>
      <c r="J195" s="18">
        <v>1.1000000000000001</v>
      </c>
      <c r="K195" s="30">
        <v>4.0999999999999996</v>
      </c>
      <c r="L195" s="18">
        <v>5.2</v>
      </c>
      <c r="M195" s="16"/>
      <c r="N195" s="16"/>
      <c r="O195" s="29"/>
    </row>
    <row r="196" spans="3:15">
      <c r="C196" s="18">
        <f t="shared" si="3"/>
        <v>25</v>
      </c>
      <c r="D196" s="18" t="s">
        <v>71</v>
      </c>
      <c r="E196" s="158">
        <v>63</v>
      </c>
      <c r="F196" s="158" t="s">
        <v>762</v>
      </c>
      <c r="G196" s="158" t="s">
        <v>120</v>
      </c>
      <c r="H196" s="158">
        <v>125.6</v>
      </c>
      <c r="I196" s="29" t="s">
        <v>106</v>
      </c>
      <c r="J196" s="18">
        <v>1.1000000000000001</v>
      </c>
      <c r="K196" s="30">
        <v>4.0999999999999996</v>
      </c>
      <c r="L196" s="18">
        <v>5.2</v>
      </c>
      <c r="M196" s="16"/>
      <c r="N196" s="16"/>
      <c r="O196" s="29"/>
    </row>
    <row r="197" spans="3:15">
      <c r="C197" s="18">
        <f t="shared" si="3"/>
        <v>26</v>
      </c>
      <c r="D197" s="18" t="s">
        <v>71</v>
      </c>
      <c r="E197" s="158">
        <v>63</v>
      </c>
      <c r="F197" s="158" t="s">
        <v>669</v>
      </c>
      <c r="G197" s="158" t="s">
        <v>684</v>
      </c>
      <c r="H197" s="158">
        <v>2.2999999999999998</v>
      </c>
      <c r="I197" s="29" t="s">
        <v>106</v>
      </c>
      <c r="J197" s="18">
        <v>1.1000000000000001</v>
      </c>
      <c r="K197" s="30">
        <v>4.0999999999999996</v>
      </c>
      <c r="L197" s="18">
        <v>5.2</v>
      </c>
      <c r="M197" s="16"/>
      <c r="N197" s="16"/>
      <c r="O197" s="29"/>
    </row>
    <row r="198" spans="3:15">
      <c r="C198" s="18">
        <f t="shared" si="3"/>
        <v>27</v>
      </c>
      <c r="D198" s="18" t="s">
        <v>71</v>
      </c>
      <c r="E198" s="158">
        <v>63</v>
      </c>
      <c r="F198" s="158" t="s">
        <v>172</v>
      </c>
      <c r="G198" s="158" t="s">
        <v>773</v>
      </c>
      <c r="H198" s="158">
        <v>7.1</v>
      </c>
      <c r="I198" s="29" t="s">
        <v>106</v>
      </c>
      <c r="J198" s="18">
        <v>1.1000000000000001</v>
      </c>
      <c r="K198" s="30">
        <v>4.0999999999999996</v>
      </c>
      <c r="L198" s="18">
        <v>5.2</v>
      </c>
      <c r="M198" s="16"/>
      <c r="N198" s="16"/>
      <c r="O198" s="29"/>
    </row>
    <row r="199" spans="3:15">
      <c r="C199" s="18">
        <f t="shared" si="3"/>
        <v>28</v>
      </c>
      <c r="D199" s="18" t="s">
        <v>71</v>
      </c>
      <c r="E199" s="158">
        <v>63</v>
      </c>
      <c r="F199" s="158" t="s">
        <v>172</v>
      </c>
      <c r="G199" s="158" t="s">
        <v>773</v>
      </c>
      <c r="H199" s="158">
        <v>352.2</v>
      </c>
      <c r="I199" s="29" t="s">
        <v>106</v>
      </c>
      <c r="J199" s="18">
        <v>1.1000000000000001</v>
      </c>
      <c r="K199" s="30">
        <v>4.0999999999999996</v>
      </c>
      <c r="L199" s="18">
        <v>5.2</v>
      </c>
      <c r="M199" s="16"/>
      <c r="N199" s="16"/>
      <c r="O199" s="29"/>
    </row>
    <row r="200" spans="3:15">
      <c r="C200" s="18">
        <f t="shared" si="3"/>
        <v>29</v>
      </c>
      <c r="D200" s="18" t="s">
        <v>71</v>
      </c>
      <c r="E200" s="158">
        <v>63</v>
      </c>
      <c r="F200" s="158" t="s">
        <v>779</v>
      </c>
      <c r="G200" s="158" t="s">
        <v>445</v>
      </c>
      <c r="H200" s="158">
        <v>284.3</v>
      </c>
      <c r="I200" s="29" t="s">
        <v>106</v>
      </c>
      <c r="J200" s="18">
        <v>1.1000000000000001</v>
      </c>
      <c r="K200" s="30">
        <v>4.0999999999999996</v>
      </c>
      <c r="L200" s="18">
        <v>5.2</v>
      </c>
      <c r="M200" s="16"/>
      <c r="N200" s="16"/>
      <c r="O200" s="29"/>
    </row>
    <row r="201" spans="3:15">
      <c r="C201" s="18">
        <f t="shared" si="3"/>
        <v>30</v>
      </c>
      <c r="D201" s="18" t="s">
        <v>71</v>
      </c>
      <c r="E201" s="158">
        <v>63</v>
      </c>
      <c r="F201" s="158" t="s">
        <v>773</v>
      </c>
      <c r="G201" s="158" t="s">
        <v>762</v>
      </c>
      <c r="H201" s="158">
        <v>152.1</v>
      </c>
      <c r="I201" s="29" t="s">
        <v>106</v>
      </c>
      <c r="J201" s="18">
        <v>1.1000000000000001</v>
      </c>
      <c r="K201" s="30">
        <v>4.0999999999999996</v>
      </c>
      <c r="L201" s="18">
        <v>5.2</v>
      </c>
      <c r="M201" s="16"/>
      <c r="N201" s="16"/>
      <c r="O201" s="29"/>
    </row>
    <row r="202" spans="3:15">
      <c r="C202" s="18">
        <f t="shared" si="3"/>
        <v>31</v>
      </c>
      <c r="D202" s="18" t="s">
        <v>71</v>
      </c>
      <c r="E202" s="158">
        <v>63</v>
      </c>
      <c r="F202" s="158" t="s">
        <v>1136</v>
      </c>
      <c r="G202" s="158" t="s">
        <v>179</v>
      </c>
      <c r="H202" s="158">
        <v>9.8000000000000007</v>
      </c>
      <c r="I202" s="29" t="s">
        <v>106</v>
      </c>
      <c r="J202" s="18">
        <v>1.1000000000000001</v>
      </c>
      <c r="K202" s="30">
        <v>4.0999999999999996</v>
      </c>
      <c r="L202" s="18">
        <v>5.2</v>
      </c>
      <c r="M202" s="16"/>
      <c r="N202" s="16"/>
      <c r="O202" s="29"/>
    </row>
    <row r="203" spans="3:15">
      <c r="C203" s="18">
        <f t="shared" si="3"/>
        <v>32</v>
      </c>
      <c r="D203" s="18" t="s">
        <v>71</v>
      </c>
      <c r="E203" s="158">
        <v>63</v>
      </c>
      <c r="F203" s="158" t="s">
        <v>1136</v>
      </c>
      <c r="G203" s="158" t="s">
        <v>1138</v>
      </c>
      <c r="H203" s="158">
        <v>178.1</v>
      </c>
      <c r="I203" s="29" t="s">
        <v>106</v>
      </c>
      <c r="J203" s="18">
        <v>1.1000000000000001</v>
      </c>
      <c r="K203" s="30">
        <v>4.0999999999999996</v>
      </c>
      <c r="L203" s="18">
        <v>5.2</v>
      </c>
      <c r="M203" s="16"/>
      <c r="N203" s="16"/>
      <c r="O203" s="29"/>
    </row>
    <row r="204" spans="3:15">
      <c r="C204" s="18">
        <f t="shared" si="3"/>
        <v>33</v>
      </c>
      <c r="D204" s="18" t="s">
        <v>71</v>
      </c>
      <c r="E204" s="158">
        <v>63</v>
      </c>
      <c r="F204" s="158" t="s">
        <v>669</v>
      </c>
      <c r="G204" s="158" t="s">
        <v>684</v>
      </c>
      <c r="H204" s="158">
        <v>128.9</v>
      </c>
      <c r="I204" s="29" t="s">
        <v>106</v>
      </c>
      <c r="J204" s="18">
        <v>1.1000000000000001</v>
      </c>
      <c r="K204" s="30">
        <v>4.0999999999999996</v>
      </c>
      <c r="L204" s="18">
        <v>5.2</v>
      </c>
      <c r="M204" s="16"/>
      <c r="N204" s="16"/>
      <c r="O204" s="29"/>
    </row>
    <row r="205" spans="3:15">
      <c r="C205" s="18">
        <f t="shared" si="3"/>
        <v>34</v>
      </c>
      <c r="D205" s="18" t="s">
        <v>71</v>
      </c>
      <c r="E205" s="158">
        <v>63</v>
      </c>
      <c r="F205" s="158" t="s">
        <v>669</v>
      </c>
      <c r="G205" s="158" t="s">
        <v>684</v>
      </c>
      <c r="H205" s="158">
        <v>159.1</v>
      </c>
      <c r="I205" s="29" t="s">
        <v>106</v>
      </c>
      <c r="J205" s="18">
        <v>1.1000000000000001</v>
      </c>
      <c r="K205" s="30">
        <v>4.0999999999999996</v>
      </c>
      <c r="L205" s="18">
        <v>5.2</v>
      </c>
      <c r="M205" s="16"/>
      <c r="N205" s="16"/>
      <c r="O205" s="29"/>
    </row>
    <row r="206" spans="3:15">
      <c r="C206" s="18"/>
      <c r="D206" s="18"/>
      <c r="E206" s="29"/>
      <c r="F206" s="34"/>
      <c r="G206" s="34"/>
      <c r="H206" s="29"/>
      <c r="I206" s="29"/>
      <c r="J206" s="18"/>
      <c r="K206" s="30"/>
      <c r="L206" s="18"/>
      <c r="M206" s="16"/>
      <c r="N206" s="16"/>
      <c r="O206" s="29"/>
    </row>
    <row r="207" spans="3:15">
      <c r="C207" s="18"/>
      <c r="D207" s="18"/>
      <c r="E207" s="29"/>
      <c r="F207" s="34"/>
      <c r="G207" s="34"/>
      <c r="H207" s="29"/>
      <c r="I207" s="29"/>
      <c r="J207" s="18"/>
      <c r="K207" s="30"/>
      <c r="L207" s="18"/>
      <c r="M207" s="16"/>
      <c r="N207" s="16"/>
      <c r="O207" s="29"/>
    </row>
    <row r="208" spans="3:15">
      <c r="C208" s="374"/>
      <c r="D208" s="374"/>
      <c r="E208" s="374"/>
      <c r="F208" s="374"/>
      <c r="G208" s="374"/>
      <c r="H208" s="374"/>
      <c r="I208" s="374"/>
      <c r="J208" s="374"/>
      <c r="K208" s="374"/>
      <c r="L208" s="374"/>
      <c r="M208" s="374"/>
      <c r="N208" s="374"/>
    </row>
    <row r="209" spans="3:14">
      <c r="C209" s="324"/>
      <c r="D209" s="324"/>
      <c r="E209" s="325" t="s">
        <v>86</v>
      </c>
      <c r="F209" s="325"/>
      <c r="G209" s="325"/>
      <c r="H209" s="325"/>
      <c r="I209" s="325" t="s">
        <v>87</v>
      </c>
      <c r="J209" s="325"/>
      <c r="K209" s="325"/>
      <c r="L209" s="325" t="s">
        <v>39</v>
      </c>
      <c r="M209" s="325"/>
      <c r="N209" s="325"/>
    </row>
    <row r="210" spans="3:14">
      <c r="C210" s="295" t="s">
        <v>40</v>
      </c>
      <c r="D210" s="295"/>
      <c r="E210" s="317"/>
      <c r="F210" s="317"/>
      <c r="G210" s="317"/>
      <c r="H210" s="317"/>
      <c r="I210" s="317"/>
      <c r="J210" s="317"/>
      <c r="K210" s="317"/>
      <c r="L210" s="317"/>
      <c r="M210" s="317"/>
      <c r="N210" s="317"/>
    </row>
    <row r="211" spans="3:14">
      <c r="C211" s="295" t="s">
        <v>41</v>
      </c>
      <c r="D211" s="295"/>
      <c r="E211" s="317"/>
      <c r="F211" s="317"/>
      <c r="G211" s="317"/>
      <c r="H211" s="317"/>
      <c r="I211" s="317"/>
      <c r="J211" s="317"/>
      <c r="K211" s="317"/>
      <c r="L211" s="317"/>
      <c r="M211" s="317"/>
      <c r="N211" s="317"/>
    </row>
    <row r="212" spans="3:14">
      <c r="C212" s="295" t="s">
        <v>42</v>
      </c>
      <c r="D212" s="295"/>
      <c r="E212" s="317"/>
      <c r="F212" s="317"/>
      <c r="G212" s="317"/>
      <c r="H212" s="317"/>
      <c r="I212" s="317"/>
      <c r="J212" s="317"/>
      <c r="K212" s="317"/>
      <c r="L212" s="317"/>
      <c r="M212" s="317"/>
      <c r="N212" s="317"/>
    </row>
    <row r="213" spans="3:14">
      <c r="C213" s="295" t="s">
        <v>43</v>
      </c>
      <c r="D213" s="295"/>
      <c r="E213" s="315"/>
      <c r="F213" s="316"/>
      <c r="G213" s="316"/>
      <c r="H213" s="316"/>
      <c r="I213" s="317"/>
      <c r="J213" s="317"/>
      <c r="K213" s="317"/>
      <c r="L213" s="317"/>
      <c r="M213" s="317"/>
      <c r="N213" s="317"/>
    </row>
    <row r="216" spans="3:14">
      <c r="C216" s="206"/>
      <c r="D216" s="211" t="s">
        <v>44</v>
      </c>
      <c r="E216" s="212"/>
      <c r="F216" s="212"/>
      <c r="G216" s="212"/>
      <c r="H216" s="212"/>
      <c r="I216" s="212"/>
      <c r="J216" s="212"/>
      <c r="K216" s="212"/>
      <c r="L216" s="20"/>
      <c r="M216" s="20"/>
      <c r="N216" s="21"/>
    </row>
    <row r="217" spans="3:14">
      <c r="C217" s="207"/>
      <c r="D217" s="214"/>
      <c r="E217" s="215"/>
      <c r="F217" s="215"/>
      <c r="G217" s="215"/>
      <c r="H217" s="215"/>
      <c r="I217" s="215"/>
      <c r="J217" s="215"/>
      <c r="K217" s="215"/>
      <c r="N217" s="22"/>
    </row>
    <row r="218" spans="3:14">
      <c r="C218" s="207"/>
      <c r="D218" s="214"/>
      <c r="E218" s="215"/>
      <c r="F218" s="215"/>
      <c r="G218" s="215"/>
      <c r="H218" s="215"/>
      <c r="I218" s="215"/>
      <c r="J218" s="215"/>
      <c r="K218" s="215"/>
      <c r="N218" s="22"/>
    </row>
    <row r="219" spans="3:14">
      <c r="C219" s="207"/>
      <c r="D219" s="289"/>
      <c r="E219" s="290"/>
      <c r="F219" s="290"/>
      <c r="G219" s="290"/>
      <c r="H219" s="290"/>
      <c r="I219" s="290"/>
      <c r="J219" s="290"/>
      <c r="K219" s="290"/>
      <c r="N219" s="22"/>
    </row>
    <row r="220" spans="3:14" ht="16.5">
      <c r="C220" s="223" t="s">
        <v>45</v>
      </c>
      <c r="D220" s="224"/>
      <c r="E220" s="7" t="s">
        <v>46</v>
      </c>
      <c r="F220" s="8"/>
      <c r="G220" s="8"/>
      <c r="H220" s="8"/>
      <c r="I220" s="8"/>
      <c r="J220" s="8"/>
      <c r="K220" s="8"/>
      <c r="L220" s="8"/>
      <c r="M220" s="8"/>
      <c r="N220" s="23"/>
    </row>
    <row r="221" spans="3:14" ht="16.5">
      <c r="C221" s="223" t="s">
        <v>48</v>
      </c>
      <c r="D221" s="224"/>
      <c r="E221" s="7" t="s">
        <v>49</v>
      </c>
      <c r="F221" s="8"/>
      <c r="G221" s="8"/>
      <c r="H221" s="8"/>
      <c r="I221" s="8"/>
      <c r="J221" s="8"/>
      <c r="K221" s="8"/>
      <c r="L221" s="8"/>
      <c r="M221" s="8"/>
      <c r="N221" s="23"/>
    </row>
    <row r="222" spans="3:14" ht="16.5">
      <c r="C222" s="225" t="s">
        <v>50</v>
      </c>
      <c r="D222" s="226"/>
      <c r="E222" s="7" t="s">
        <v>51</v>
      </c>
      <c r="F222" s="8"/>
      <c r="G222" s="8"/>
      <c r="H222" s="8"/>
      <c r="I222" s="8"/>
      <c r="J222" s="8"/>
      <c r="K222" s="8"/>
      <c r="L222" s="8"/>
      <c r="M222" s="8"/>
      <c r="N222" s="23"/>
    </row>
    <row r="223" spans="3:14" ht="16.5">
      <c r="C223" s="223" t="s">
        <v>52</v>
      </c>
      <c r="D223" s="224"/>
      <c r="E223" s="7" t="s">
        <v>53</v>
      </c>
      <c r="F223" s="8"/>
      <c r="G223" s="8"/>
      <c r="H223" s="8"/>
      <c r="I223" s="8"/>
      <c r="J223" s="8"/>
      <c r="K223" s="8"/>
      <c r="L223" s="8"/>
      <c r="M223" s="8"/>
      <c r="N223" s="23"/>
    </row>
    <row r="224" spans="3:14" ht="15.75">
      <c r="C224" s="227" t="s">
        <v>1120</v>
      </c>
      <c r="D224" s="228"/>
      <c r="E224" s="228"/>
      <c r="F224" s="228"/>
      <c r="G224" s="228"/>
      <c r="H224" s="228"/>
      <c r="I224" s="228"/>
      <c r="J224" s="228"/>
      <c r="K224" s="228"/>
      <c r="L224" s="228"/>
      <c r="M224" s="228"/>
      <c r="N224" s="229"/>
    </row>
    <row r="225" spans="3:14" ht="15.75">
      <c r="C225" s="11" t="s">
        <v>55</v>
      </c>
      <c r="E225" s="12"/>
      <c r="F225" s="12"/>
      <c r="G225" s="12"/>
      <c r="H225" s="12"/>
      <c r="I225" s="24" t="s">
        <v>56</v>
      </c>
      <c r="J225" s="25"/>
      <c r="K225" s="12"/>
      <c r="L225" s="12"/>
      <c r="M225" s="12"/>
      <c r="N225" s="26"/>
    </row>
    <row r="226" spans="3:14">
      <c r="C226" s="217"/>
      <c r="D226" s="218"/>
      <c r="E226" s="218"/>
      <c r="F226" s="218"/>
      <c r="G226" s="218"/>
      <c r="H226" s="218"/>
      <c r="I226" s="218"/>
      <c r="J226" s="218"/>
      <c r="K226" s="218"/>
      <c r="L226" s="218"/>
      <c r="M226" s="218"/>
      <c r="N226" s="219"/>
    </row>
    <row r="227" spans="3:14" ht="15.75">
      <c r="C227" s="15" t="s">
        <v>103</v>
      </c>
      <c r="D227" s="355"/>
      <c r="E227" s="356"/>
      <c r="F227" s="356"/>
      <c r="G227" s="356"/>
      <c r="H227" s="357"/>
      <c r="I227" s="368" t="s">
        <v>542</v>
      </c>
      <c r="J227" s="369"/>
      <c r="K227" s="369"/>
      <c r="L227" s="369"/>
      <c r="M227" s="369"/>
      <c r="N227" s="370"/>
    </row>
    <row r="228" spans="3:14">
      <c r="C228" s="329" t="s">
        <v>59</v>
      </c>
      <c r="D228" s="209" t="s">
        <v>60</v>
      </c>
      <c r="E228" s="209" t="s">
        <v>659</v>
      </c>
      <c r="F228" s="209" t="s">
        <v>62</v>
      </c>
      <c r="G228" s="209" t="s">
        <v>63</v>
      </c>
      <c r="H228" s="209" t="s">
        <v>64</v>
      </c>
      <c r="I228" s="209" t="s">
        <v>65</v>
      </c>
      <c r="J228" s="342" t="s">
        <v>66</v>
      </c>
      <c r="K228" s="343"/>
      <c r="L228" s="344"/>
      <c r="M228" s="209" t="s">
        <v>30</v>
      </c>
      <c r="N228" s="328" t="s">
        <v>67</v>
      </c>
    </row>
    <row r="229" spans="3:14" ht="60">
      <c r="C229" s="359"/>
      <c r="D229" s="292"/>
      <c r="E229" s="292"/>
      <c r="F229" s="292"/>
      <c r="G229" s="292"/>
      <c r="H229" s="292"/>
      <c r="I229" s="292"/>
      <c r="J229" s="17" t="s">
        <v>68</v>
      </c>
      <c r="K229" s="28" t="s">
        <v>999</v>
      </c>
      <c r="L229" s="17" t="s">
        <v>70</v>
      </c>
      <c r="M229" s="292"/>
      <c r="N229" s="360"/>
    </row>
    <row r="230" spans="3:14">
      <c r="C230" s="18">
        <v>1</v>
      </c>
      <c r="D230" s="18" t="s">
        <v>71</v>
      </c>
      <c r="E230" s="158">
        <v>63</v>
      </c>
      <c r="F230" s="158" t="s">
        <v>667</v>
      </c>
      <c r="G230" s="158" t="s">
        <v>547</v>
      </c>
      <c r="H230" s="158">
        <v>551.9</v>
      </c>
      <c r="I230" s="29" t="s">
        <v>1143</v>
      </c>
      <c r="J230" s="18">
        <v>1</v>
      </c>
      <c r="K230" s="30">
        <v>3.5</v>
      </c>
      <c r="L230" s="18">
        <v>4.5</v>
      </c>
      <c r="M230" s="16"/>
      <c r="N230" s="16"/>
    </row>
    <row r="231" spans="3:14">
      <c r="C231" s="18">
        <f t="shared" ref="C231:C279" si="4">1+C230</f>
        <v>2</v>
      </c>
      <c r="D231" s="18" t="s">
        <v>71</v>
      </c>
      <c r="E231" s="158">
        <v>63</v>
      </c>
      <c r="F231" s="158" t="s">
        <v>1088</v>
      </c>
      <c r="G231" s="158" t="s">
        <v>571</v>
      </c>
      <c r="H231" s="158">
        <v>39.700000000000003</v>
      </c>
      <c r="I231" s="29" t="s">
        <v>1143</v>
      </c>
      <c r="J231" s="18">
        <v>1</v>
      </c>
      <c r="K231" s="30">
        <v>3.5</v>
      </c>
      <c r="L231" s="18">
        <v>4.5</v>
      </c>
      <c r="M231" s="16"/>
      <c r="N231" s="16"/>
    </row>
    <row r="232" spans="3:14">
      <c r="C232" s="18">
        <f t="shared" si="4"/>
        <v>3</v>
      </c>
      <c r="D232" s="18" t="s">
        <v>71</v>
      </c>
      <c r="E232" s="158">
        <v>63</v>
      </c>
      <c r="F232" s="158" t="s">
        <v>571</v>
      </c>
      <c r="G232" s="158" t="s">
        <v>1142</v>
      </c>
      <c r="H232" s="158">
        <v>3</v>
      </c>
      <c r="I232" s="29" t="s">
        <v>1143</v>
      </c>
      <c r="J232" s="18">
        <v>1</v>
      </c>
      <c r="K232" s="30">
        <v>3.5</v>
      </c>
      <c r="L232" s="18">
        <v>4.5</v>
      </c>
      <c r="M232" s="16"/>
      <c r="N232" s="16"/>
    </row>
    <row r="233" spans="3:14">
      <c r="C233" s="18">
        <f t="shared" si="4"/>
        <v>4</v>
      </c>
      <c r="D233" s="18" t="s">
        <v>71</v>
      </c>
      <c r="E233" s="158">
        <v>63</v>
      </c>
      <c r="F233" s="158" t="s">
        <v>571</v>
      </c>
      <c r="G233" s="158" t="s">
        <v>1142</v>
      </c>
      <c r="H233" s="158">
        <v>52.9</v>
      </c>
      <c r="I233" s="29" t="s">
        <v>1143</v>
      </c>
      <c r="J233" s="18">
        <v>1</v>
      </c>
      <c r="K233" s="30">
        <v>3.5</v>
      </c>
      <c r="L233" s="18">
        <v>4.5</v>
      </c>
      <c r="M233" s="16"/>
      <c r="N233" s="16"/>
    </row>
    <row r="234" spans="3:14">
      <c r="C234" s="18">
        <f t="shared" si="4"/>
        <v>5</v>
      </c>
      <c r="D234" s="18" t="s">
        <v>71</v>
      </c>
      <c r="E234" s="158">
        <v>63</v>
      </c>
      <c r="F234" s="158" t="s">
        <v>571</v>
      </c>
      <c r="G234" s="158" t="s">
        <v>663</v>
      </c>
      <c r="H234" s="158">
        <v>53.1</v>
      </c>
      <c r="I234" s="29" t="s">
        <v>1143</v>
      </c>
      <c r="J234" s="18">
        <v>1</v>
      </c>
      <c r="K234" s="30">
        <v>3.5</v>
      </c>
      <c r="L234" s="18">
        <v>4.5</v>
      </c>
      <c r="M234" s="16"/>
      <c r="N234" s="16"/>
    </row>
    <row r="235" spans="3:14">
      <c r="C235" s="18">
        <f t="shared" si="4"/>
        <v>6</v>
      </c>
      <c r="D235" s="18" t="s">
        <v>71</v>
      </c>
      <c r="E235" s="158">
        <v>63</v>
      </c>
      <c r="F235" s="158" t="s">
        <v>663</v>
      </c>
      <c r="G235" s="158" t="s">
        <v>783</v>
      </c>
      <c r="H235" s="158">
        <v>62.2</v>
      </c>
      <c r="I235" s="29" t="s">
        <v>1143</v>
      </c>
      <c r="J235" s="18">
        <v>1</v>
      </c>
      <c r="K235" s="30">
        <v>3.5</v>
      </c>
      <c r="L235" s="18">
        <v>4.5</v>
      </c>
      <c r="M235" s="16"/>
      <c r="N235" s="16"/>
    </row>
    <row r="236" spans="3:14">
      <c r="C236" s="18">
        <f t="shared" si="4"/>
        <v>7</v>
      </c>
      <c r="D236" s="18" t="s">
        <v>71</v>
      </c>
      <c r="E236" s="158">
        <v>63</v>
      </c>
      <c r="F236" s="158" t="s">
        <v>702</v>
      </c>
      <c r="G236" s="158" t="s">
        <v>126</v>
      </c>
      <c r="H236" s="158">
        <v>101.8</v>
      </c>
      <c r="I236" s="29" t="s">
        <v>1143</v>
      </c>
      <c r="J236" s="18">
        <v>1</v>
      </c>
      <c r="K236" s="30">
        <v>3.5</v>
      </c>
      <c r="L236" s="18">
        <v>4.5</v>
      </c>
      <c r="M236" s="16"/>
      <c r="N236" s="16"/>
    </row>
    <row r="237" spans="3:14">
      <c r="C237" s="18">
        <f t="shared" si="4"/>
        <v>8</v>
      </c>
      <c r="D237" s="18" t="s">
        <v>71</v>
      </c>
      <c r="E237" s="158">
        <v>63</v>
      </c>
      <c r="F237" s="158" t="s">
        <v>126</v>
      </c>
      <c r="G237" s="158" t="s">
        <v>1142</v>
      </c>
      <c r="H237" s="158">
        <v>30.1</v>
      </c>
      <c r="I237" s="29" t="s">
        <v>1143</v>
      </c>
      <c r="J237" s="18">
        <v>1</v>
      </c>
      <c r="K237" s="30">
        <v>3.5</v>
      </c>
      <c r="L237" s="18">
        <v>4.5</v>
      </c>
      <c r="M237" s="16"/>
      <c r="N237" s="16"/>
    </row>
    <row r="238" spans="3:14">
      <c r="C238" s="18">
        <f t="shared" si="4"/>
        <v>9</v>
      </c>
      <c r="D238" s="18" t="s">
        <v>71</v>
      </c>
      <c r="E238" s="158">
        <v>63</v>
      </c>
      <c r="F238" s="158" t="s">
        <v>1142</v>
      </c>
      <c r="G238" s="158" t="s">
        <v>728</v>
      </c>
      <c r="H238" s="158">
        <v>45.9</v>
      </c>
      <c r="I238" s="29" t="s">
        <v>1143</v>
      </c>
      <c r="J238" s="18">
        <v>1</v>
      </c>
      <c r="K238" s="30">
        <v>3.5</v>
      </c>
      <c r="L238" s="18">
        <v>4.5</v>
      </c>
      <c r="M238" s="16"/>
      <c r="N238" s="16"/>
    </row>
    <row r="239" spans="3:14">
      <c r="C239" s="18">
        <f t="shared" si="4"/>
        <v>10</v>
      </c>
      <c r="D239" s="18" t="s">
        <v>71</v>
      </c>
      <c r="E239" s="158">
        <v>63</v>
      </c>
      <c r="F239" s="158" t="s">
        <v>547</v>
      </c>
      <c r="G239" s="158" t="s">
        <v>666</v>
      </c>
      <c r="H239" s="158">
        <v>2.6</v>
      </c>
      <c r="I239" s="29" t="s">
        <v>1143</v>
      </c>
      <c r="J239" s="18">
        <v>1</v>
      </c>
      <c r="K239" s="30">
        <v>3.5</v>
      </c>
      <c r="L239" s="18">
        <v>4.5</v>
      </c>
      <c r="M239" s="16"/>
      <c r="N239" s="16"/>
    </row>
    <row r="240" spans="3:14">
      <c r="C240" s="18">
        <f t="shared" si="4"/>
        <v>11</v>
      </c>
      <c r="D240" s="18" t="s">
        <v>71</v>
      </c>
      <c r="E240" s="158">
        <v>63</v>
      </c>
      <c r="F240" s="158" t="s">
        <v>547</v>
      </c>
      <c r="G240" s="158" t="s">
        <v>666</v>
      </c>
      <c r="H240" s="158">
        <v>5</v>
      </c>
      <c r="I240" s="29" t="s">
        <v>1143</v>
      </c>
      <c r="J240" s="18">
        <v>1</v>
      </c>
      <c r="K240" s="30">
        <v>3.5</v>
      </c>
      <c r="L240" s="18">
        <v>4.5</v>
      </c>
      <c r="M240" s="16"/>
      <c r="N240" s="16"/>
    </row>
    <row r="241" spans="3:14">
      <c r="C241" s="18">
        <f t="shared" si="4"/>
        <v>12</v>
      </c>
      <c r="D241" s="18" t="s">
        <v>71</v>
      </c>
      <c r="E241" s="158">
        <v>63</v>
      </c>
      <c r="F241" s="158" t="s">
        <v>547</v>
      </c>
      <c r="G241" s="158" t="s">
        <v>666</v>
      </c>
      <c r="H241" s="158">
        <v>114.1</v>
      </c>
      <c r="I241" s="29" t="s">
        <v>1143</v>
      </c>
      <c r="J241" s="18">
        <v>1</v>
      </c>
      <c r="K241" s="30">
        <v>3.5</v>
      </c>
      <c r="L241" s="18">
        <v>4.5</v>
      </c>
      <c r="M241" s="16"/>
      <c r="N241" s="16"/>
    </row>
    <row r="242" spans="3:14">
      <c r="C242" s="18">
        <f t="shared" si="4"/>
        <v>13</v>
      </c>
      <c r="D242" s="18" t="s">
        <v>71</v>
      </c>
      <c r="E242" s="158">
        <v>63</v>
      </c>
      <c r="F242" s="158" t="s">
        <v>705</v>
      </c>
      <c r="G242" s="158" t="s">
        <v>746</v>
      </c>
      <c r="H242" s="158">
        <v>133.6</v>
      </c>
      <c r="I242" s="29" t="s">
        <v>1143</v>
      </c>
      <c r="J242" s="18">
        <v>1</v>
      </c>
      <c r="K242" s="30">
        <v>3.5</v>
      </c>
      <c r="L242" s="18">
        <v>4.5</v>
      </c>
      <c r="M242" s="16"/>
      <c r="N242" s="16"/>
    </row>
    <row r="243" spans="3:14">
      <c r="C243" s="18">
        <f t="shared" si="4"/>
        <v>14</v>
      </c>
      <c r="D243" s="18" t="s">
        <v>71</v>
      </c>
      <c r="E243" s="158">
        <v>63</v>
      </c>
      <c r="F243" s="158" t="s">
        <v>746</v>
      </c>
      <c r="G243" s="158" t="s">
        <v>396</v>
      </c>
      <c r="H243" s="158">
        <v>34.700000000000003</v>
      </c>
      <c r="I243" s="29" t="s">
        <v>1143</v>
      </c>
      <c r="J243" s="18">
        <v>1</v>
      </c>
      <c r="K243" s="30">
        <v>3.5</v>
      </c>
      <c r="L243" s="18">
        <v>4.5</v>
      </c>
      <c r="M243" s="16"/>
      <c r="N243" s="16"/>
    </row>
    <row r="244" spans="3:14">
      <c r="C244" s="18">
        <f t="shared" si="4"/>
        <v>15</v>
      </c>
      <c r="D244" s="18" t="s">
        <v>71</v>
      </c>
      <c r="E244" s="158">
        <v>63</v>
      </c>
      <c r="F244" s="158" t="s">
        <v>746</v>
      </c>
      <c r="G244" s="158" t="s">
        <v>730</v>
      </c>
      <c r="H244" s="158">
        <v>30.1</v>
      </c>
      <c r="I244" s="29" t="s">
        <v>1143</v>
      </c>
      <c r="J244" s="18">
        <v>1</v>
      </c>
      <c r="K244" s="30">
        <v>3.5</v>
      </c>
      <c r="L244" s="18">
        <v>4.5</v>
      </c>
      <c r="M244" s="16"/>
      <c r="N244" s="16"/>
    </row>
    <row r="245" spans="3:14">
      <c r="C245" s="18">
        <f t="shared" si="4"/>
        <v>16</v>
      </c>
      <c r="D245" s="18" t="s">
        <v>71</v>
      </c>
      <c r="E245" s="158">
        <v>63</v>
      </c>
      <c r="F245" s="158" t="s">
        <v>1144</v>
      </c>
      <c r="G245" s="158" t="s">
        <v>1145</v>
      </c>
      <c r="H245" s="158">
        <v>36.1</v>
      </c>
      <c r="I245" s="29" t="s">
        <v>1143</v>
      </c>
      <c r="J245" s="18">
        <v>1</v>
      </c>
      <c r="K245" s="30">
        <v>3.5</v>
      </c>
      <c r="L245" s="18">
        <v>4.5</v>
      </c>
      <c r="M245" s="16"/>
      <c r="N245" s="16"/>
    </row>
    <row r="246" spans="3:14">
      <c r="C246" s="18">
        <f t="shared" si="4"/>
        <v>17</v>
      </c>
      <c r="D246" s="18" t="s">
        <v>71</v>
      </c>
      <c r="E246" s="158">
        <v>63</v>
      </c>
      <c r="F246" s="158" t="s">
        <v>705</v>
      </c>
      <c r="G246" s="158" t="s">
        <v>765</v>
      </c>
      <c r="H246" s="158">
        <v>131.19999999999999</v>
      </c>
      <c r="I246" s="29" t="s">
        <v>1143</v>
      </c>
      <c r="J246" s="18">
        <v>1</v>
      </c>
      <c r="K246" s="30">
        <v>3.5</v>
      </c>
      <c r="L246" s="18">
        <v>4.5</v>
      </c>
      <c r="M246" s="16"/>
      <c r="N246" s="16"/>
    </row>
    <row r="247" spans="3:14">
      <c r="C247" s="18">
        <f t="shared" si="4"/>
        <v>18</v>
      </c>
      <c r="D247" s="18" t="s">
        <v>71</v>
      </c>
      <c r="E247" s="158">
        <v>63</v>
      </c>
      <c r="F247" s="158" t="s">
        <v>765</v>
      </c>
      <c r="G247" s="158" t="s">
        <v>523</v>
      </c>
      <c r="H247" s="158">
        <v>29.1</v>
      </c>
      <c r="I247" s="29" t="s">
        <v>1143</v>
      </c>
      <c r="J247" s="18">
        <v>1</v>
      </c>
      <c r="K247" s="30">
        <v>3.5</v>
      </c>
      <c r="L247" s="18">
        <v>4.5</v>
      </c>
      <c r="M247" s="16"/>
      <c r="N247" s="16"/>
    </row>
    <row r="248" spans="3:14">
      <c r="C248" s="18">
        <f t="shared" si="4"/>
        <v>19</v>
      </c>
      <c r="D248" s="18" t="s">
        <v>71</v>
      </c>
      <c r="E248" s="158">
        <v>63</v>
      </c>
      <c r="F248" s="158" t="s">
        <v>523</v>
      </c>
      <c r="G248" s="158" t="s">
        <v>1146</v>
      </c>
      <c r="H248" s="158">
        <v>35.200000000000003</v>
      </c>
      <c r="I248" s="29" t="s">
        <v>1143</v>
      </c>
      <c r="J248" s="18">
        <v>1</v>
      </c>
      <c r="K248" s="30">
        <v>3.5</v>
      </c>
      <c r="L248" s="18">
        <v>4.5</v>
      </c>
      <c r="M248" s="16"/>
      <c r="N248" s="16"/>
    </row>
    <row r="249" spans="3:14">
      <c r="C249" s="18">
        <f t="shared" si="4"/>
        <v>20</v>
      </c>
      <c r="D249" s="18" t="s">
        <v>71</v>
      </c>
      <c r="E249" s="158">
        <v>63</v>
      </c>
      <c r="F249" s="158" t="s">
        <v>523</v>
      </c>
      <c r="G249" s="158" t="s">
        <v>1147</v>
      </c>
      <c r="H249" s="158">
        <v>62.7</v>
      </c>
      <c r="I249" s="29" t="s">
        <v>1143</v>
      </c>
      <c r="J249" s="18">
        <v>1</v>
      </c>
      <c r="K249" s="30">
        <v>3.5</v>
      </c>
      <c r="L249" s="18">
        <v>4.5</v>
      </c>
      <c r="M249" s="16"/>
      <c r="N249" s="16"/>
    </row>
    <row r="250" spans="3:14">
      <c r="C250" s="18">
        <f t="shared" si="4"/>
        <v>21</v>
      </c>
      <c r="D250" s="18" t="s">
        <v>71</v>
      </c>
      <c r="E250" s="158">
        <v>63</v>
      </c>
      <c r="F250" s="158" t="s">
        <v>1147</v>
      </c>
      <c r="G250" s="158" t="s">
        <v>751</v>
      </c>
      <c r="H250" s="158">
        <v>22.1</v>
      </c>
      <c r="I250" s="29" t="s">
        <v>1143</v>
      </c>
      <c r="J250" s="18">
        <v>1</v>
      </c>
      <c r="K250" s="30">
        <v>3.5</v>
      </c>
      <c r="L250" s="18">
        <v>4.5</v>
      </c>
      <c r="M250" s="16"/>
      <c r="N250" s="16"/>
    </row>
    <row r="251" spans="3:14">
      <c r="C251" s="18">
        <f t="shared" si="4"/>
        <v>22</v>
      </c>
      <c r="D251" s="18" t="s">
        <v>71</v>
      </c>
      <c r="E251" s="158">
        <v>63</v>
      </c>
      <c r="F251" s="158" t="s">
        <v>1148</v>
      </c>
      <c r="G251" s="158" t="s">
        <v>623</v>
      </c>
      <c r="H251" s="158">
        <v>47.2</v>
      </c>
      <c r="I251" s="29" t="s">
        <v>1143</v>
      </c>
      <c r="J251" s="18">
        <v>1</v>
      </c>
      <c r="K251" s="30">
        <v>3.5</v>
      </c>
      <c r="L251" s="18">
        <v>4.5</v>
      </c>
      <c r="M251" s="16"/>
      <c r="N251" s="16"/>
    </row>
    <row r="252" spans="3:14">
      <c r="C252" s="18">
        <f t="shared" si="4"/>
        <v>23</v>
      </c>
      <c r="D252" s="18" t="s">
        <v>71</v>
      </c>
      <c r="E252" s="158">
        <v>63</v>
      </c>
      <c r="F252" s="158" t="s">
        <v>751</v>
      </c>
      <c r="G252" s="158" t="s">
        <v>994</v>
      </c>
      <c r="H252" s="158">
        <v>74.599999999999994</v>
      </c>
      <c r="I252" s="29" t="s">
        <v>1143</v>
      </c>
      <c r="J252" s="18">
        <v>1</v>
      </c>
      <c r="K252" s="30">
        <v>3.5</v>
      </c>
      <c r="L252" s="18">
        <v>4.5</v>
      </c>
      <c r="M252" s="16"/>
      <c r="N252" s="16"/>
    </row>
    <row r="253" spans="3:14">
      <c r="C253" s="18">
        <f t="shared" si="4"/>
        <v>24</v>
      </c>
      <c r="D253" s="18" t="s">
        <v>71</v>
      </c>
      <c r="E253" s="158">
        <v>63</v>
      </c>
      <c r="F253" s="158" t="s">
        <v>994</v>
      </c>
      <c r="G253" s="158" t="s">
        <v>1146</v>
      </c>
      <c r="H253" s="158">
        <v>7.8</v>
      </c>
      <c r="I253" s="29" t="s">
        <v>1143</v>
      </c>
      <c r="J253" s="18">
        <v>1</v>
      </c>
      <c r="K253" s="30">
        <v>3.5</v>
      </c>
      <c r="L253" s="18">
        <v>4.5</v>
      </c>
      <c r="M253" s="16"/>
      <c r="N253" s="16"/>
    </row>
    <row r="254" spans="3:14">
      <c r="C254" s="18">
        <f t="shared" si="4"/>
        <v>25</v>
      </c>
      <c r="D254" s="18" t="s">
        <v>71</v>
      </c>
      <c r="E254" s="158">
        <v>63</v>
      </c>
      <c r="F254" s="158" t="s">
        <v>994</v>
      </c>
      <c r="G254" s="158" t="s">
        <v>1146</v>
      </c>
      <c r="H254" s="158">
        <v>30.4</v>
      </c>
      <c r="I254" s="29" t="s">
        <v>1143</v>
      </c>
      <c r="J254" s="18">
        <v>1</v>
      </c>
      <c r="K254" s="30">
        <v>3.5</v>
      </c>
      <c r="L254" s="18">
        <v>4.5</v>
      </c>
      <c r="M254" s="16"/>
      <c r="N254" s="16"/>
    </row>
    <row r="255" spans="3:14">
      <c r="C255" s="18">
        <f t="shared" si="4"/>
        <v>26</v>
      </c>
      <c r="D255" s="18" t="s">
        <v>71</v>
      </c>
      <c r="E255" s="158">
        <v>63</v>
      </c>
      <c r="F255" s="158" t="s">
        <v>1146</v>
      </c>
      <c r="G255" s="158" t="s">
        <v>643</v>
      </c>
      <c r="H255" s="158">
        <v>45.1</v>
      </c>
      <c r="I255" s="29" t="s">
        <v>1143</v>
      </c>
      <c r="J255" s="18">
        <v>1</v>
      </c>
      <c r="K255" s="30">
        <v>3.5</v>
      </c>
      <c r="L255" s="18">
        <v>4.5</v>
      </c>
      <c r="M255" s="16"/>
      <c r="N255" s="16"/>
    </row>
    <row r="256" spans="3:14">
      <c r="C256" s="18">
        <f t="shared" si="4"/>
        <v>27</v>
      </c>
      <c r="D256" s="18" t="s">
        <v>71</v>
      </c>
      <c r="E256" s="158">
        <v>63</v>
      </c>
      <c r="F256" s="158" t="s">
        <v>1146</v>
      </c>
      <c r="G256" s="158" t="s">
        <v>643</v>
      </c>
      <c r="H256" s="158">
        <v>18.2</v>
      </c>
      <c r="I256" s="29" t="s">
        <v>1143</v>
      </c>
      <c r="J256" s="18">
        <v>1</v>
      </c>
      <c r="K256" s="30">
        <v>3.5</v>
      </c>
      <c r="L256" s="18">
        <v>4.5</v>
      </c>
      <c r="M256" s="16"/>
      <c r="N256" s="16"/>
    </row>
    <row r="257" spans="3:14">
      <c r="C257" s="18">
        <f t="shared" si="4"/>
        <v>28</v>
      </c>
      <c r="D257" s="18" t="s">
        <v>71</v>
      </c>
      <c r="E257" s="158">
        <v>63</v>
      </c>
      <c r="F257" s="158" t="s">
        <v>643</v>
      </c>
      <c r="G257" s="158" t="s">
        <v>796</v>
      </c>
      <c r="H257" s="158">
        <v>38.1</v>
      </c>
      <c r="I257" s="29" t="s">
        <v>1143</v>
      </c>
      <c r="J257" s="18">
        <v>1</v>
      </c>
      <c r="K257" s="30">
        <v>3.5</v>
      </c>
      <c r="L257" s="18">
        <v>4.5</v>
      </c>
      <c r="M257" s="16"/>
      <c r="N257" s="16"/>
    </row>
    <row r="258" spans="3:14">
      <c r="C258" s="18">
        <f t="shared" si="4"/>
        <v>29</v>
      </c>
      <c r="D258" s="18" t="s">
        <v>71</v>
      </c>
      <c r="E258" s="158">
        <v>63</v>
      </c>
      <c r="F258" s="158" t="s">
        <v>643</v>
      </c>
      <c r="G258" s="158" t="s">
        <v>780</v>
      </c>
      <c r="H258" s="158">
        <v>23.4</v>
      </c>
      <c r="I258" s="29" t="s">
        <v>1143</v>
      </c>
      <c r="J258" s="18">
        <v>1</v>
      </c>
      <c r="K258" s="30">
        <v>3.5</v>
      </c>
      <c r="L258" s="18">
        <v>4.5</v>
      </c>
      <c r="M258" s="16"/>
      <c r="N258" s="16"/>
    </row>
    <row r="259" spans="3:14">
      <c r="C259" s="18">
        <f t="shared" si="4"/>
        <v>30</v>
      </c>
      <c r="D259" s="18" t="s">
        <v>71</v>
      </c>
      <c r="E259" s="158">
        <v>63</v>
      </c>
      <c r="F259" s="158" t="s">
        <v>780</v>
      </c>
      <c r="G259" s="158" t="s">
        <v>755</v>
      </c>
      <c r="H259" s="158">
        <v>2.6</v>
      </c>
      <c r="I259" s="29" t="s">
        <v>1143</v>
      </c>
      <c r="J259" s="18">
        <v>1</v>
      </c>
      <c r="K259" s="30">
        <v>3.5</v>
      </c>
      <c r="L259" s="18">
        <v>4.5</v>
      </c>
      <c r="M259" s="16"/>
      <c r="N259" s="16"/>
    </row>
    <row r="260" spans="3:14">
      <c r="C260" s="18">
        <f t="shared" si="4"/>
        <v>31</v>
      </c>
      <c r="D260" s="18" t="s">
        <v>71</v>
      </c>
      <c r="E260" s="158">
        <v>63</v>
      </c>
      <c r="F260" s="158" t="s">
        <v>780</v>
      </c>
      <c r="G260" s="158" t="s">
        <v>755</v>
      </c>
      <c r="H260" s="158">
        <v>39.5</v>
      </c>
      <c r="I260" s="29" t="s">
        <v>1143</v>
      </c>
      <c r="J260" s="18">
        <v>1</v>
      </c>
      <c r="K260" s="30">
        <v>3.5</v>
      </c>
      <c r="L260" s="18">
        <v>4.5</v>
      </c>
      <c r="M260" s="16"/>
      <c r="N260" s="16"/>
    </row>
    <row r="261" spans="3:14">
      <c r="C261" s="18">
        <f t="shared" si="4"/>
        <v>32</v>
      </c>
      <c r="D261" s="18" t="s">
        <v>71</v>
      </c>
      <c r="E261" s="158">
        <v>63</v>
      </c>
      <c r="F261" s="158" t="s">
        <v>780</v>
      </c>
      <c r="G261" s="158" t="s">
        <v>734</v>
      </c>
      <c r="H261" s="158">
        <v>25.5</v>
      </c>
      <c r="I261" s="29" t="s">
        <v>1143</v>
      </c>
      <c r="J261" s="18">
        <v>1</v>
      </c>
      <c r="K261" s="30">
        <v>3.5</v>
      </c>
      <c r="L261" s="18">
        <v>4.5</v>
      </c>
      <c r="M261" s="16"/>
      <c r="N261" s="16"/>
    </row>
    <row r="262" spans="3:14">
      <c r="C262" s="18">
        <f t="shared" si="4"/>
        <v>33</v>
      </c>
      <c r="D262" s="18" t="s">
        <v>71</v>
      </c>
      <c r="E262" s="158">
        <v>63</v>
      </c>
      <c r="F262" s="158" t="s">
        <v>734</v>
      </c>
      <c r="G262" s="158" t="s">
        <v>650</v>
      </c>
      <c r="H262" s="158">
        <v>41.3</v>
      </c>
      <c r="I262" s="29" t="s">
        <v>1143</v>
      </c>
      <c r="J262" s="18">
        <v>1</v>
      </c>
      <c r="K262" s="30">
        <v>3.5</v>
      </c>
      <c r="L262" s="18">
        <v>4.5</v>
      </c>
      <c r="M262" s="16"/>
      <c r="N262" s="16"/>
    </row>
    <row r="263" spans="3:14">
      <c r="C263" s="18">
        <f t="shared" si="4"/>
        <v>34</v>
      </c>
      <c r="D263" s="18" t="s">
        <v>71</v>
      </c>
      <c r="E263" s="158">
        <v>63</v>
      </c>
      <c r="F263" s="158" t="s">
        <v>734</v>
      </c>
      <c r="G263" s="158" t="s">
        <v>1011</v>
      </c>
      <c r="H263" s="158">
        <v>15.1</v>
      </c>
      <c r="I263" s="29" t="s">
        <v>1143</v>
      </c>
      <c r="J263" s="18">
        <v>1</v>
      </c>
      <c r="K263" s="30">
        <v>3.5</v>
      </c>
      <c r="L263" s="18">
        <v>4.5</v>
      </c>
      <c r="M263" s="16"/>
      <c r="N263" s="16"/>
    </row>
    <row r="264" spans="3:14">
      <c r="C264" s="18">
        <f t="shared" si="4"/>
        <v>35</v>
      </c>
      <c r="D264" s="18" t="s">
        <v>71</v>
      </c>
      <c r="E264" s="158">
        <v>63</v>
      </c>
      <c r="F264" s="158" t="s">
        <v>1011</v>
      </c>
      <c r="G264" s="158" t="s">
        <v>763</v>
      </c>
      <c r="H264" s="158">
        <v>2.7</v>
      </c>
      <c r="I264" s="29" t="s">
        <v>1143</v>
      </c>
      <c r="J264" s="18">
        <v>1</v>
      </c>
      <c r="K264" s="30">
        <v>3.5</v>
      </c>
      <c r="L264" s="18">
        <v>4.5</v>
      </c>
      <c r="M264" s="16"/>
      <c r="N264" s="16"/>
    </row>
    <row r="265" spans="3:14">
      <c r="C265" s="18">
        <f t="shared" si="4"/>
        <v>36</v>
      </c>
      <c r="D265" s="18" t="s">
        <v>71</v>
      </c>
      <c r="E265" s="158">
        <v>63</v>
      </c>
      <c r="F265" s="158" t="s">
        <v>1011</v>
      </c>
      <c r="G265" s="158" t="s">
        <v>763</v>
      </c>
      <c r="H265" s="158">
        <v>1.2</v>
      </c>
      <c r="I265" s="29" t="s">
        <v>1143</v>
      </c>
      <c r="J265" s="18">
        <v>1</v>
      </c>
      <c r="K265" s="30">
        <v>3.5</v>
      </c>
      <c r="L265" s="18">
        <v>4.5</v>
      </c>
      <c r="M265" s="16"/>
      <c r="N265" s="16"/>
    </row>
    <row r="266" spans="3:14">
      <c r="C266" s="18">
        <f t="shared" si="4"/>
        <v>37</v>
      </c>
      <c r="D266" s="18" t="s">
        <v>71</v>
      </c>
      <c r="E266" s="158">
        <v>63</v>
      </c>
      <c r="F266" s="158" t="s">
        <v>1011</v>
      </c>
      <c r="G266" s="158" t="s">
        <v>763</v>
      </c>
      <c r="H266" s="158">
        <v>6.4</v>
      </c>
      <c r="I266" s="29" t="s">
        <v>1143</v>
      </c>
      <c r="J266" s="18">
        <v>1</v>
      </c>
      <c r="K266" s="30">
        <v>3.5</v>
      </c>
      <c r="L266" s="18">
        <v>4.5</v>
      </c>
      <c r="M266" s="16"/>
      <c r="N266" s="16"/>
    </row>
    <row r="267" spans="3:14">
      <c r="C267" s="18">
        <f t="shared" si="4"/>
        <v>38</v>
      </c>
      <c r="D267" s="18" t="s">
        <v>71</v>
      </c>
      <c r="E267" s="158">
        <v>63</v>
      </c>
      <c r="F267" s="158" t="s">
        <v>1011</v>
      </c>
      <c r="G267" s="158" t="s">
        <v>763</v>
      </c>
      <c r="H267" s="158">
        <v>26.1</v>
      </c>
      <c r="I267" s="29" t="s">
        <v>1143</v>
      </c>
      <c r="J267" s="18">
        <v>1</v>
      </c>
      <c r="K267" s="30">
        <v>3.5</v>
      </c>
      <c r="L267" s="18">
        <v>4.5</v>
      </c>
      <c r="M267" s="16"/>
      <c r="N267" s="16"/>
    </row>
    <row r="268" spans="3:14">
      <c r="C268" s="18">
        <f t="shared" si="4"/>
        <v>39</v>
      </c>
      <c r="D268" s="18" t="s">
        <v>71</v>
      </c>
      <c r="E268" s="158">
        <v>63</v>
      </c>
      <c r="F268" s="158" t="s">
        <v>734</v>
      </c>
      <c r="G268" s="158" t="s">
        <v>1149</v>
      </c>
      <c r="H268" s="158">
        <v>2.7</v>
      </c>
      <c r="I268" s="29" t="s">
        <v>1143</v>
      </c>
      <c r="J268" s="18">
        <v>1</v>
      </c>
      <c r="K268" s="30">
        <v>3.5</v>
      </c>
      <c r="L268" s="18">
        <v>4.5</v>
      </c>
      <c r="M268" s="16"/>
      <c r="N268" s="16"/>
    </row>
    <row r="269" spans="3:14">
      <c r="C269" s="18">
        <f t="shared" si="4"/>
        <v>40</v>
      </c>
      <c r="D269" s="18" t="s">
        <v>71</v>
      </c>
      <c r="E269" s="158">
        <v>63</v>
      </c>
      <c r="F269" s="158" t="s">
        <v>734</v>
      </c>
      <c r="G269" s="158" t="s">
        <v>1149</v>
      </c>
      <c r="H269" s="158">
        <v>37.200000000000003</v>
      </c>
      <c r="I269" s="29" t="s">
        <v>1143</v>
      </c>
      <c r="J269" s="18">
        <v>1</v>
      </c>
      <c r="K269" s="30">
        <v>3.5</v>
      </c>
      <c r="L269" s="18">
        <v>4.5</v>
      </c>
      <c r="M269" s="16"/>
      <c r="N269" s="16"/>
    </row>
    <row r="270" spans="3:14">
      <c r="C270" s="18">
        <f t="shared" si="4"/>
        <v>41</v>
      </c>
      <c r="D270" s="18" t="s">
        <v>71</v>
      </c>
      <c r="E270" s="158">
        <v>63</v>
      </c>
      <c r="F270" s="158" t="s">
        <v>1149</v>
      </c>
      <c r="G270" s="158" t="s">
        <v>726</v>
      </c>
      <c r="H270" s="158">
        <v>90.5</v>
      </c>
      <c r="I270" s="29" t="s">
        <v>1143</v>
      </c>
      <c r="J270" s="18">
        <v>1</v>
      </c>
      <c r="K270" s="30">
        <v>3.5</v>
      </c>
      <c r="L270" s="18">
        <v>4.5</v>
      </c>
      <c r="M270" s="16"/>
      <c r="N270" s="16"/>
    </row>
    <row r="271" spans="3:14">
      <c r="C271" s="18">
        <f t="shared" si="4"/>
        <v>42</v>
      </c>
      <c r="D271" s="18" t="s">
        <v>71</v>
      </c>
      <c r="E271" s="158">
        <v>63</v>
      </c>
      <c r="F271" s="158" t="s">
        <v>726</v>
      </c>
      <c r="G271" s="158" t="s">
        <v>644</v>
      </c>
      <c r="H271" s="158">
        <v>36.299999999999997</v>
      </c>
      <c r="I271" s="29" t="s">
        <v>1143</v>
      </c>
      <c r="J271" s="18">
        <v>1</v>
      </c>
      <c r="K271" s="30">
        <v>3.5</v>
      </c>
      <c r="L271" s="18">
        <v>4.5</v>
      </c>
      <c r="M271" s="16"/>
      <c r="N271" s="16"/>
    </row>
    <row r="272" spans="3:14">
      <c r="C272" s="18">
        <f t="shared" si="4"/>
        <v>43</v>
      </c>
      <c r="D272" s="18" t="s">
        <v>71</v>
      </c>
      <c r="E272" s="158">
        <v>63</v>
      </c>
      <c r="F272" s="158" t="s">
        <v>726</v>
      </c>
      <c r="G272" s="158" t="s">
        <v>1150</v>
      </c>
      <c r="H272" s="158">
        <v>79.2</v>
      </c>
      <c r="I272" s="29" t="s">
        <v>1143</v>
      </c>
      <c r="J272" s="18">
        <v>1</v>
      </c>
      <c r="K272" s="30">
        <v>3.5</v>
      </c>
      <c r="L272" s="18">
        <v>4.5</v>
      </c>
      <c r="M272" s="16"/>
      <c r="N272" s="16"/>
    </row>
    <row r="273" spans="3:14">
      <c r="C273" s="18">
        <f t="shared" si="4"/>
        <v>44</v>
      </c>
      <c r="D273" s="18" t="s">
        <v>71</v>
      </c>
      <c r="E273" s="158">
        <v>63</v>
      </c>
      <c r="F273" s="158" t="s">
        <v>1150</v>
      </c>
      <c r="G273" s="158" t="s">
        <v>1134</v>
      </c>
      <c r="H273" s="158">
        <v>31.2</v>
      </c>
      <c r="I273" s="29" t="s">
        <v>1143</v>
      </c>
      <c r="J273" s="18">
        <v>1</v>
      </c>
      <c r="K273" s="30">
        <v>3.5</v>
      </c>
      <c r="L273" s="18">
        <v>4.5</v>
      </c>
      <c r="M273" s="16"/>
      <c r="N273" s="16"/>
    </row>
    <row r="274" spans="3:14">
      <c r="C274" s="18">
        <f t="shared" si="4"/>
        <v>45</v>
      </c>
      <c r="D274" s="18" t="s">
        <v>71</v>
      </c>
      <c r="E274" s="158">
        <v>75</v>
      </c>
      <c r="F274" s="158" t="s">
        <v>761</v>
      </c>
      <c r="G274" s="158" t="s">
        <v>1151</v>
      </c>
      <c r="H274" s="158">
        <v>140.1</v>
      </c>
      <c r="I274" s="29" t="s">
        <v>1143</v>
      </c>
      <c r="J274" s="18">
        <v>1</v>
      </c>
      <c r="K274" s="30">
        <v>3.5</v>
      </c>
      <c r="L274" s="18">
        <v>4.5</v>
      </c>
      <c r="M274" s="16"/>
      <c r="N274" s="16"/>
    </row>
    <row r="275" spans="3:14">
      <c r="C275" s="18">
        <f t="shared" si="4"/>
        <v>46</v>
      </c>
      <c r="D275" s="18" t="s">
        <v>71</v>
      </c>
      <c r="E275" s="158">
        <v>63</v>
      </c>
      <c r="F275" s="158" t="s">
        <v>1151</v>
      </c>
      <c r="G275" s="158" t="s">
        <v>807</v>
      </c>
      <c r="H275" s="158">
        <v>56.1</v>
      </c>
      <c r="I275" s="29" t="s">
        <v>1143</v>
      </c>
      <c r="J275" s="18">
        <v>1</v>
      </c>
      <c r="K275" s="30">
        <v>3.5</v>
      </c>
      <c r="L275" s="18">
        <v>4.5</v>
      </c>
      <c r="M275" s="16"/>
      <c r="N275" s="16"/>
    </row>
    <row r="276" spans="3:14">
      <c r="C276" s="18">
        <f t="shared" si="4"/>
        <v>47</v>
      </c>
      <c r="D276" s="18" t="s">
        <v>71</v>
      </c>
      <c r="E276" s="158">
        <v>63</v>
      </c>
      <c r="F276" s="158" t="s">
        <v>1151</v>
      </c>
      <c r="G276" s="158" t="s">
        <v>1147</v>
      </c>
      <c r="H276" s="158">
        <v>6.1</v>
      </c>
      <c r="I276" s="29" t="s">
        <v>1143</v>
      </c>
      <c r="J276" s="18">
        <v>1</v>
      </c>
      <c r="K276" s="30">
        <v>3.5</v>
      </c>
      <c r="L276" s="18">
        <v>4.5</v>
      </c>
      <c r="M276" s="16"/>
      <c r="N276" s="16"/>
    </row>
    <row r="277" spans="3:14">
      <c r="C277" s="18">
        <f t="shared" si="4"/>
        <v>48</v>
      </c>
      <c r="D277" s="18" t="s">
        <v>71</v>
      </c>
      <c r="E277" s="158">
        <v>63</v>
      </c>
      <c r="F277" s="158" t="s">
        <v>1151</v>
      </c>
      <c r="G277" s="158" t="s">
        <v>1147</v>
      </c>
      <c r="H277" s="158">
        <v>2.2000000000000002</v>
      </c>
      <c r="I277" s="29" t="s">
        <v>1143</v>
      </c>
      <c r="J277" s="18">
        <v>1</v>
      </c>
      <c r="K277" s="30">
        <v>3.5</v>
      </c>
      <c r="L277" s="18">
        <v>4.5</v>
      </c>
      <c r="M277" s="16"/>
      <c r="N277" s="16"/>
    </row>
    <row r="278" spans="3:14">
      <c r="C278" s="18">
        <f t="shared" si="4"/>
        <v>49</v>
      </c>
      <c r="D278" s="18" t="s">
        <v>71</v>
      </c>
      <c r="E278" s="158">
        <v>63</v>
      </c>
      <c r="F278" s="158" t="s">
        <v>1151</v>
      </c>
      <c r="G278" s="158" t="s">
        <v>1147</v>
      </c>
      <c r="H278" s="158">
        <v>101.1</v>
      </c>
      <c r="I278" s="29" t="s">
        <v>1143</v>
      </c>
      <c r="J278" s="18">
        <v>1</v>
      </c>
      <c r="K278" s="30">
        <v>3.5</v>
      </c>
      <c r="L278" s="18">
        <v>4.5</v>
      </c>
      <c r="M278" s="16"/>
      <c r="N278" s="16"/>
    </row>
    <row r="279" spans="3:14">
      <c r="C279" s="18">
        <f t="shared" si="4"/>
        <v>50</v>
      </c>
      <c r="D279" s="18" t="s">
        <v>71</v>
      </c>
      <c r="E279" s="158">
        <v>63</v>
      </c>
      <c r="F279" s="158" t="s">
        <v>225</v>
      </c>
      <c r="G279" s="158" t="s">
        <v>743</v>
      </c>
      <c r="H279" s="158">
        <v>35.4</v>
      </c>
      <c r="I279" s="29" t="s">
        <v>1143</v>
      </c>
      <c r="J279" s="18">
        <v>1</v>
      </c>
      <c r="K279" s="30">
        <v>3.5</v>
      </c>
      <c r="L279" s="18">
        <v>4.5</v>
      </c>
      <c r="M279" s="16"/>
      <c r="N279" s="16"/>
    </row>
    <row r="280" spans="3:14">
      <c r="C280" s="18">
        <f t="shared" ref="C280:C289" si="5">1+C279</f>
        <v>51</v>
      </c>
      <c r="D280" s="29" t="s">
        <v>71</v>
      </c>
      <c r="E280" s="158">
        <v>63</v>
      </c>
      <c r="F280" s="158" t="s">
        <v>225</v>
      </c>
      <c r="G280" s="158" t="s">
        <v>743</v>
      </c>
      <c r="H280" s="158">
        <v>24.8</v>
      </c>
      <c r="I280" s="29" t="s">
        <v>1143</v>
      </c>
      <c r="J280" s="18">
        <v>1</v>
      </c>
      <c r="K280" s="30">
        <v>3.5</v>
      </c>
      <c r="L280" s="18">
        <v>4.5</v>
      </c>
      <c r="M280" s="16"/>
      <c r="N280" s="16"/>
    </row>
    <row r="281" spans="3:14">
      <c r="C281" s="18">
        <f t="shared" si="5"/>
        <v>52</v>
      </c>
      <c r="D281" s="29" t="s">
        <v>71</v>
      </c>
      <c r="E281" s="158">
        <v>63</v>
      </c>
      <c r="F281" s="158" t="s">
        <v>1151</v>
      </c>
      <c r="G281" s="158" t="s">
        <v>743</v>
      </c>
      <c r="H281" s="158">
        <v>71.3</v>
      </c>
      <c r="I281" s="29" t="s">
        <v>1143</v>
      </c>
      <c r="J281" s="18">
        <v>1</v>
      </c>
      <c r="K281" s="30">
        <v>3.5</v>
      </c>
      <c r="L281" s="18">
        <v>4.5</v>
      </c>
      <c r="M281" s="16"/>
      <c r="N281" s="16"/>
    </row>
    <row r="282" spans="3:14">
      <c r="C282" s="18">
        <f t="shared" si="5"/>
        <v>53</v>
      </c>
      <c r="D282" s="29" t="s">
        <v>71</v>
      </c>
      <c r="E282" s="158">
        <v>63</v>
      </c>
      <c r="F282" s="158" t="s">
        <v>1152</v>
      </c>
      <c r="G282" s="158" t="s">
        <v>1153</v>
      </c>
      <c r="H282" s="158">
        <v>43.2</v>
      </c>
      <c r="I282" s="29" t="s">
        <v>1143</v>
      </c>
      <c r="J282" s="18">
        <v>1</v>
      </c>
      <c r="K282" s="30">
        <v>3.5</v>
      </c>
      <c r="L282" s="18">
        <v>4.5</v>
      </c>
      <c r="M282" s="16"/>
      <c r="N282" s="16"/>
    </row>
    <row r="283" spans="3:14">
      <c r="C283" s="18">
        <f t="shared" si="5"/>
        <v>54</v>
      </c>
      <c r="D283" s="29" t="s">
        <v>71</v>
      </c>
      <c r="E283" s="158">
        <v>63</v>
      </c>
      <c r="F283" s="158" t="s">
        <v>743</v>
      </c>
      <c r="G283" s="158" t="s">
        <v>164</v>
      </c>
      <c r="H283" s="158">
        <v>25.1</v>
      </c>
      <c r="I283" s="29" t="s">
        <v>1143</v>
      </c>
      <c r="J283" s="18">
        <v>1</v>
      </c>
      <c r="K283" s="30">
        <v>3.5</v>
      </c>
      <c r="L283" s="18">
        <v>4.5</v>
      </c>
      <c r="M283" s="16"/>
      <c r="N283" s="16"/>
    </row>
    <row r="284" spans="3:14">
      <c r="C284" s="18">
        <f t="shared" si="5"/>
        <v>55</v>
      </c>
      <c r="D284" s="29" t="s">
        <v>71</v>
      </c>
      <c r="E284" s="158">
        <v>63</v>
      </c>
      <c r="F284" s="158" t="s">
        <v>743</v>
      </c>
      <c r="G284" s="158" t="s">
        <v>164</v>
      </c>
      <c r="H284" s="158">
        <v>3</v>
      </c>
      <c r="I284" s="29" t="s">
        <v>1143</v>
      </c>
      <c r="J284" s="18">
        <v>1</v>
      </c>
      <c r="K284" s="30">
        <v>3.5</v>
      </c>
      <c r="L284" s="18">
        <v>4.5</v>
      </c>
      <c r="M284" s="16"/>
      <c r="N284" s="16"/>
    </row>
    <row r="285" spans="3:14">
      <c r="C285" s="18">
        <f t="shared" si="5"/>
        <v>56</v>
      </c>
      <c r="D285" s="29" t="s">
        <v>71</v>
      </c>
      <c r="E285" s="158">
        <v>63</v>
      </c>
      <c r="F285" s="158" t="s">
        <v>743</v>
      </c>
      <c r="G285" s="158" t="s">
        <v>164</v>
      </c>
      <c r="H285" s="158">
        <v>20.100000000000001</v>
      </c>
      <c r="I285" s="29" t="s">
        <v>1143</v>
      </c>
      <c r="J285" s="18">
        <v>1</v>
      </c>
      <c r="K285" s="30">
        <v>3.5</v>
      </c>
      <c r="L285" s="18">
        <v>4.5</v>
      </c>
      <c r="M285" s="16"/>
      <c r="N285" s="16"/>
    </row>
    <row r="286" spans="3:14">
      <c r="C286" s="18">
        <f t="shared" si="5"/>
        <v>57</v>
      </c>
      <c r="D286" s="29" t="s">
        <v>71</v>
      </c>
      <c r="E286" s="158">
        <v>63</v>
      </c>
      <c r="F286" s="158" t="s">
        <v>743</v>
      </c>
      <c r="G286" s="158" t="s">
        <v>164</v>
      </c>
      <c r="H286" s="158">
        <v>2.8</v>
      </c>
      <c r="I286" s="29" t="s">
        <v>1143</v>
      </c>
      <c r="J286" s="18">
        <v>1</v>
      </c>
      <c r="K286" s="30">
        <v>3.5</v>
      </c>
      <c r="L286" s="18">
        <v>4.5</v>
      </c>
      <c r="M286" s="16"/>
      <c r="N286" s="16"/>
    </row>
    <row r="287" spans="3:14">
      <c r="C287" s="18">
        <f t="shared" si="5"/>
        <v>58</v>
      </c>
      <c r="D287" s="29" t="s">
        <v>71</v>
      </c>
      <c r="E287" s="158">
        <v>63</v>
      </c>
      <c r="F287" s="158" t="s">
        <v>1149</v>
      </c>
      <c r="G287" s="158" t="s">
        <v>1154</v>
      </c>
      <c r="H287" s="158">
        <v>53.2</v>
      </c>
      <c r="I287" s="29" t="s">
        <v>1143</v>
      </c>
      <c r="J287" s="18">
        <v>1</v>
      </c>
      <c r="K287" s="30">
        <v>3.5</v>
      </c>
      <c r="L287" s="18">
        <v>4.5</v>
      </c>
      <c r="M287" s="16"/>
      <c r="N287" s="16"/>
    </row>
    <row r="288" spans="3:14">
      <c r="C288" s="18">
        <f t="shared" si="5"/>
        <v>59</v>
      </c>
      <c r="D288" s="29" t="s">
        <v>71</v>
      </c>
      <c r="E288" s="158">
        <v>63</v>
      </c>
      <c r="F288" s="158" t="s">
        <v>150</v>
      </c>
      <c r="G288" s="158" t="s">
        <v>149</v>
      </c>
      <c r="H288" s="158">
        <v>232.1</v>
      </c>
      <c r="I288" s="29" t="s">
        <v>1143</v>
      </c>
      <c r="J288" s="18">
        <v>1</v>
      </c>
      <c r="K288" s="30">
        <v>3.5</v>
      </c>
      <c r="L288" s="18">
        <v>4.5</v>
      </c>
      <c r="M288" s="16"/>
      <c r="N288" s="16"/>
    </row>
    <row r="289" spans="3:14">
      <c r="C289" s="18">
        <f t="shared" si="5"/>
        <v>60</v>
      </c>
      <c r="D289" s="29" t="s">
        <v>71</v>
      </c>
      <c r="E289" s="158">
        <v>63</v>
      </c>
      <c r="F289" s="158" t="s">
        <v>149</v>
      </c>
      <c r="G289" s="158" t="s">
        <v>665</v>
      </c>
      <c r="H289" s="158">
        <v>125.8</v>
      </c>
      <c r="I289" s="29" t="s">
        <v>1143</v>
      </c>
      <c r="J289" s="18">
        <v>1</v>
      </c>
      <c r="K289" s="30">
        <v>3.5</v>
      </c>
      <c r="L289" s="18">
        <v>4.5</v>
      </c>
      <c r="M289" s="16"/>
      <c r="N289" s="16"/>
    </row>
    <row r="290" spans="3:14">
      <c r="C290" s="18"/>
      <c r="D290" s="29"/>
      <c r="E290" s="29"/>
      <c r="F290" s="29"/>
      <c r="G290" s="29"/>
      <c r="H290" s="29"/>
      <c r="I290" s="29"/>
      <c r="J290" s="18"/>
      <c r="K290" s="30"/>
      <c r="L290" s="18"/>
      <c r="M290" s="16"/>
      <c r="N290" s="16"/>
    </row>
    <row r="291" spans="3:14">
      <c r="C291" s="374"/>
      <c r="D291" s="374"/>
      <c r="E291" s="374"/>
      <c r="F291" s="374"/>
      <c r="G291" s="374"/>
      <c r="H291" s="374"/>
      <c r="I291" s="374"/>
      <c r="J291" s="374"/>
      <c r="K291" s="374"/>
      <c r="L291" s="374"/>
      <c r="M291" s="374"/>
      <c r="N291" s="374"/>
    </row>
    <row r="292" spans="3:14">
      <c r="C292" s="324"/>
      <c r="D292" s="324"/>
      <c r="E292" s="325" t="s">
        <v>86</v>
      </c>
      <c r="F292" s="325"/>
      <c r="G292" s="325"/>
      <c r="H292" s="325"/>
      <c r="I292" s="325" t="s">
        <v>87</v>
      </c>
      <c r="J292" s="325"/>
      <c r="K292" s="325"/>
      <c r="L292" s="325" t="s">
        <v>39</v>
      </c>
      <c r="M292" s="325"/>
      <c r="N292" s="325"/>
    </row>
    <row r="293" spans="3:14">
      <c r="C293" s="295" t="s">
        <v>40</v>
      </c>
      <c r="D293" s="295"/>
      <c r="E293" s="317"/>
      <c r="F293" s="317"/>
      <c r="G293" s="317"/>
      <c r="H293" s="317"/>
      <c r="I293" s="317"/>
      <c r="J293" s="317"/>
      <c r="K293" s="317"/>
      <c r="L293" s="317"/>
      <c r="M293" s="317"/>
      <c r="N293" s="317"/>
    </row>
    <row r="294" spans="3:14">
      <c r="C294" s="295" t="s">
        <v>41</v>
      </c>
      <c r="D294" s="295"/>
      <c r="E294" s="317"/>
      <c r="F294" s="317"/>
      <c r="G294" s="317"/>
      <c r="H294" s="317"/>
      <c r="I294" s="317"/>
      <c r="J294" s="317"/>
      <c r="K294" s="317"/>
      <c r="L294" s="317"/>
      <c r="M294" s="317"/>
      <c r="N294" s="317"/>
    </row>
    <row r="295" spans="3:14">
      <c r="C295" s="295" t="s">
        <v>42</v>
      </c>
      <c r="D295" s="295"/>
      <c r="E295" s="317"/>
      <c r="F295" s="317"/>
      <c r="G295" s="317"/>
      <c r="H295" s="317"/>
      <c r="I295" s="317"/>
      <c r="J295" s="317"/>
      <c r="K295" s="317"/>
      <c r="L295" s="317"/>
      <c r="M295" s="317"/>
      <c r="N295" s="317"/>
    </row>
    <row r="296" spans="3:14">
      <c r="C296" s="295" t="s">
        <v>43</v>
      </c>
      <c r="D296" s="295"/>
      <c r="E296" s="315"/>
      <c r="F296" s="316"/>
      <c r="G296" s="316"/>
      <c r="H296" s="316"/>
      <c r="I296" s="317"/>
      <c r="J296" s="317"/>
      <c r="K296" s="317"/>
      <c r="L296" s="317"/>
      <c r="M296" s="317"/>
      <c r="N296" s="317"/>
    </row>
    <row r="298" spans="3:14">
      <c r="C298" s="206"/>
      <c r="D298" s="211" t="s">
        <v>44</v>
      </c>
      <c r="E298" s="212"/>
      <c r="F298" s="212"/>
      <c r="G298" s="212"/>
      <c r="H298" s="212"/>
      <c r="I298" s="212"/>
      <c r="J298" s="212"/>
      <c r="K298" s="212"/>
      <c r="L298" s="20"/>
      <c r="M298" s="20"/>
      <c r="N298" s="21"/>
    </row>
    <row r="299" spans="3:14">
      <c r="C299" s="207"/>
      <c r="D299" s="214"/>
      <c r="E299" s="215"/>
      <c r="F299" s="215"/>
      <c r="G299" s="215"/>
      <c r="H299" s="215"/>
      <c r="I299" s="215"/>
      <c r="J299" s="215"/>
      <c r="K299" s="215"/>
      <c r="N299" s="22"/>
    </row>
    <row r="300" spans="3:14">
      <c r="C300" s="207"/>
      <c r="D300" s="214"/>
      <c r="E300" s="215"/>
      <c r="F300" s="215"/>
      <c r="G300" s="215"/>
      <c r="H300" s="215"/>
      <c r="I300" s="215"/>
      <c r="J300" s="215"/>
      <c r="K300" s="215"/>
      <c r="N300" s="22"/>
    </row>
    <row r="301" spans="3:14">
      <c r="C301" s="207"/>
      <c r="D301" s="289"/>
      <c r="E301" s="290"/>
      <c r="F301" s="290"/>
      <c r="G301" s="290"/>
      <c r="H301" s="290"/>
      <c r="I301" s="290"/>
      <c r="J301" s="290"/>
      <c r="K301" s="290"/>
      <c r="N301" s="22"/>
    </row>
    <row r="302" spans="3:14" ht="16.5">
      <c r="C302" s="223" t="s">
        <v>45</v>
      </c>
      <c r="D302" s="224"/>
      <c r="E302" s="7" t="s">
        <v>46</v>
      </c>
      <c r="F302" s="8"/>
      <c r="G302" s="8"/>
      <c r="H302" s="8"/>
      <c r="I302" s="8"/>
      <c r="J302" s="8"/>
      <c r="K302" s="8"/>
      <c r="L302" s="8"/>
      <c r="M302" s="8"/>
      <c r="N302" s="23"/>
    </row>
    <row r="303" spans="3:14" ht="16.5">
      <c r="C303" s="223" t="s">
        <v>48</v>
      </c>
      <c r="D303" s="224"/>
      <c r="E303" s="7" t="s">
        <v>49</v>
      </c>
      <c r="F303" s="8"/>
      <c r="G303" s="8"/>
      <c r="H303" s="8"/>
      <c r="I303" s="8"/>
      <c r="J303" s="8"/>
      <c r="K303" s="8"/>
      <c r="L303" s="8"/>
      <c r="M303" s="8"/>
      <c r="N303" s="23"/>
    </row>
    <row r="304" spans="3:14" ht="16.5">
      <c r="C304" s="225" t="s">
        <v>50</v>
      </c>
      <c r="D304" s="226"/>
      <c r="E304" s="7" t="s">
        <v>51</v>
      </c>
      <c r="F304" s="8"/>
      <c r="G304" s="8"/>
      <c r="H304" s="8"/>
      <c r="I304" s="8"/>
      <c r="J304" s="8"/>
      <c r="K304" s="8"/>
      <c r="L304" s="8"/>
      <c r="M304" s="8"/>
      <c r="N304" s="23"/>
    </row>
    <row r="305" spans="3:16" ht="16.5">
      <c r="C305" s="223" t="s">
        <v>52</v>
      </c>
      <c r="D305" s="224"/>
      <c r="E305" s="7" t="s">
        <v>53</v>
      </c>
      <c r="F305" s="8"/>
      <c r="G305" s="8"/>
      <c r="H305" s="8"/>
      <c r="I305" s="8"/>
      <c r="J305" s="8"/>
      <c r="K305" s="8"/>
      <c r="L305" s="8"/>
      <c r="M305" s="8"/>
      <c r="N305" s="23"/>
    </row>
    <row r="306" spans="3:16" ht="15.75">
      <c r="C306" s="227" t="s">
        <v>1120</v>
      </c>
      <c r="D306" s="228"/>
      <c r="E306" s="228"/>
      <c r="F306" s="228"/>
      <c r="G306" s="228"/>
      <c r="H306" s="228"/>
      <c r="I306" s="228"/>
      <c r="J306" s="228"/>
      <c r="K306" s="228"/>
      <c r="L306" s="228"/>
      <c r="M306" s="228"/>
      <c r="N306" s="229"/>
    </row>
    <row r="307" spans="3:16" ht="15.75">
      <c r="C307" s="11" t="s">
        <v>55</v>
      </c>
      <c r="E307" s="12"/>
      <c r="F307" s="12"/>
      <c r="G307" s="12"/>
      <c r="H307" s="12"/>
      <c r="I307" s="24" t="s">
        <v>56</v>
      </c>
      <c r="J307" s="25"/>
      <c r="K307" s="12"/>
      <c r="L307" s="12"/>
      <c r="M307" s="12"/>
      <c r="N307" s="26"/>
    </row>
    <row r="308" spans="3:16">
      <c r="C308" s="217"/>
      <c r="D308" s="218"/>
      <c r="E308" s="218"/>
      <c r="F308" s="218"/>
      <c r="G308" s="218"/>
      <c r="H308" s="218"/>
      <c r="I308" s="218"/>
      <c r="J308" s="218"/>
      <c r="K308" s="218"/>
      <c r="L308" s="218"/>
      <c r="M308" s="218"/>
      <c r="N308" s="219"/>
    </row>
    <row r="309" spans="3:16" ht="15.75">
      <c r="C309" s="15" t="s">
        <v>103</v>
      </c>
      <c r="D309" s="355"/>
      <c r="E309" s="356"/>
      <c r="F309" s="356"/>
      <c r="G309" s="356"/>
      <c r="H309" s="357"/>
      <c r="I309" s="368" t="s">
        <v>542</v>
      </c>
      <c r="J309" s="369"/>
      <c r="K309" s="369"/>
      <c r="L309" s="369"/>
      <c r="M309" s="369"/>
      <c r="N309" s="370"/>
    </row>
    <row r="310" spans="3:16">
      <c r="C310" s="329" t="s">
        <v>59</v>
      </c>
      <c r="D310" s="209" t="s">
        <v>60</v>
      </c>
      <c r="E310" s="209" t="s">
        <v>659</v>
      </c>
      <c r="F310" s="209" t="s">
        <v>62</v>
      </c>
      <c r="G310" s="209" t="s">
        <v>63</v>
      </c>
      <c r="H310" s="209" t="s">
        <v>64</v>
      </c>
      <c r="I310" s="209" t="s">
        <v>65</v>
      </c>
      <c r="J310" s="342" t="s">
        <v>66</v>
      </c>
      <c r="K310" s="343"/>
      <c r="L310" s="344"/>
      <c r="M310" s="209" t="s">
        <v>30</v>
      </c>
      <c r="N310" s="328" t="s">
        <v>67</v>
      </c>
    </row>
    <row r="311" spans="3:16" ht="60">
      <c r="C311" s="359"/>
      <c r="D311" s="292"/>
      <c r="E311" s="292"/>
      <c r="F311" s="292"/>
      <c r="G311" s="292"/>
      <c r="H311" s="292"/>
      <c r="I311" s="292"/>
      <c r="J311" s="17" t="s">
        <v>68</v>
      </c>
      <c r="K311" s="28" t="s">
        <v>999</v>
      </c>
      <c r="L311" s="17" t="s">
        <v>70</v>
      </c>
      <c r="M311" s="292"/>
      <c r="N311" s="360"/>
    </row>
    <row r="312" spans="3:16">
      <c r="C312" s="18">
        <v>1</v>
      </c>
      <c r="D312" s="18" t="s">
        <v>71</v>
      </c>
      <c r="E312" s="158">
        <v>63</v>
      </c>
      <c r="F312" s="158" t="s">
        <v>149</v>
      </c>
      <c r="G312" s="158" t="s">
        <v>425</v>
      </c>
      <c r="H312" s="158">
        <v>279.2</v>
      </c>
      <c r="I312" s="29" t="s">
        <v>1159</v>
      </c>
      <c r="J312" s="18">
        <v>1.4</v>
      </c>
      <c r="K312" s="30">
        <v>4</v>
      </c>
      <c r="L312" s="18">
        <v>5.4</v>
      </c>
      <c r="M312" s="16"/>
      <c r="N312" s="16"/>
      <c r="P312">
        <f>4.6-1.4</f>
        <v>3.1999999999999997</v>
      </c>
    </row>
    <row r="313" spans="3:16">
      <c r="C313" s="18">
        <f t="shared" ref="C313:C373" si="6">1+C312</f>
        <v>2</v>
      </c>
      <c r="D313" s="18" t="s">
        <v>71</v>
      </c>
      <c r="E313" s="158">
        <v>63</v>
      </c>
      <c r="F313" s="158" t="s">
        <v>699</v>
      </c>
      <c r="G313" s="158" t="s">
        <v>338</v>
      </c>
      <c r="H313" s="158">
        <v>190.5</v>
      </c>
      <c r="I313" s="29" t="s">
        <v>1159</v>
      </c>
      <c r="J313" s="18">
        <v>1.4</v>
      </c>
      <c r="K313" s="30">
        <v>4</v>
      </c>
      <c r="L313" s="18">
        <v>5.4</v>
      </c>
      <c r="M313" s="16"/>
      <c r="N313" s="16"/>
    </row>
    <row r="314" spans="3:16">
      <c r="C314" s="18">
        <f t="shared" si="6"/>
        <v>3</v>
      </c>
      <c r="D314" s="18" t="s">
        <v>71</v>
      </c>
      <c r="E314" s="158">
        <v>63</v>
      </c>
      <c r="F314" s="158" t="s">
        <v>338</v>
      </c>
      <c r="G314" s="158" t="s">
        <v>134</v>
      </c>
      <c r="H314" s="158">
        <v>2.5</v>
      </c>
      <c r="I314" s="29" t="s">
        <v>1159</v>
      </c>
      <c r="J314" s="18">
        <v>1.4</v>
      </c>
      <c r="K314" s="30">
        <v>4</v>
      </c>
      <c r="L314" s="18">
        <v>5.4</v>
      </c>
      <c r="M314" s="16"/>
      <c r="N314" s="16"/>
    </row>
    <row r="315" spans="3:16">
      <c r="C315" s="18">
        <f t="shared" si="6"/>
        <v>4</v>
      </c>
      <c r="D315" s="18" t="s">
        <v>71</v>
      </c>
      <c r="E315" s="158">
        <v>63</v>
      </c>
      <c r="F315" s="158" t="s">
        <v>338</v>
      </c>
      <c r="G315" s="158" t="s">
        <v>134</v>
      </c>
      <c r="H315" s="55">
        <v>1.3</v>
      </c>
      <c r="I315" s="29" t="s">
        <v>1159</v>
      </c>
      <c r="J315" s="18">
        <v>1.4</v>
      </c>
      <c r="K315" s="30">
        <v>4</v>
      </c>
      <c r="L315" s="18">
        <v>5.4</v>
      </c>
      <c r="M315" s="16"/>
      <c r="N315" s="16"/>
    </row>
    <row r="316" spans="3:16">
      <c r="C316" s="18">
        <f t="shared" si="6"/>
        <v>5</v>
      </c>
      <c r="D316" s="18" t="s">
        <v>71</v>
      </c>
      <c r="E316" s="158">
        <v>63</v>
      </c>
      <c r="F316" s="158" t="s">
        <v>338</v>
      </c>
      <c r="G316" s="158" t="s">
        <v>134</v>
      </c>
      <c r="H316" s="158">
        <v>27</v>
      </c>
      <c r="I316" s="29" t="s">
        <v>1159</v>
      </c>
      <c r="J316" s="18">
        <v>1.4</v>
      </c>
      <c r="K316" s="30">
        <v>4</v>
      </c>
      <c r="L316" s="18">
        <v>5.4</v>
      </c>
      <c r="M316" s="16"/>
      <c r="N316" s="16"/>
    </row>
    <row r="317" spans="3:16">
      <c r="C317" s="18">
        <f t="shared" si="6"/>
        <v>6</v>
      </c>
      <c r="D317" s="18" t="s">
        <v>71</v>
      </c>
      <c r="E317" s="158">
        <v>63</v>
      </c>
      <c r="F317" s="158" t="s">
        <v>134</v>
      </c>
      <c r="G317" s="158" t="s">
        <v>527</v>
      </c>
      <c r="H317" s="158">
        <v>14</v>
      </c>
      <c r="I317" s="29" t="s">
        <v>1159</v>
      </c>
      <c r="J317" s="18">
        <v>1.4</v>
      </c>
      <c r="K317" s="30">
        <v>4</v>
      </c>
      <c r="L317" s="18">
        <v>5.4</v>
      </c>
      <c r="M317" s="16"/>
      <c r="N317" s="16"/>
    </row>
    <row r="318" spans="3:16">
      <c r="C318" s="18">
        <f t="shared" si="6"/>
        <v>7</v>
      </c>
      <c r="D318" s="18" t="s">
        <v>71</v>
      </c>
      <c r="E318" s="158">
        <v>63</v>
      </c>
      <c r="F318" s="158" t="s">
        <v>134</v>
      </c>
      <c r="G318" s="158" t="s">
        <v>527</v>
      </c>
      <c r="H318" s="158">
        <v>27.9</v>
      </c>
      <c r="I318" s="29" t="s">
        <v>1159</v>
      </c>
      <c r="J318" s="18">
        <v>1.4</v>
      </c>
      <c r="K318" s="30">
        <v>4</v>
      </c>
      <c r="L318" s="18">
        <v>5.4</v>
      </c>
      <c r="M318" s="16"/>
      <c r="N318" s="16"/>
    </row>
    <row r="319" spans="3:16">
      <c r="C319" s="18">
        <f t="shared" si="6"/>
        <v>8</v>
      </c>
      <c r="D319" s="18" t="s">
        <v>71</v>
      </c>
      <c r="E319" s="158">
        <v>63</v>
      </c>
      <c r="F319" s="158" t="s">
        <v>134</v>
      </c>
      <c r="G319" s="158" t="s">
        <v>527</v>
      </c>
      <c r="H319" s="158">
        <v>13.2</v>
      </c>
      <c r="I319" s="29" t="s">
        <v>1159</v>
      </c>
      <c r="J319" s="18">
        <v>1.4</v>
      </c>
      <c r="K319" s="30">
        <v>4</v>
      </c>
      <c r="L319" s="18">
        <v>5.4</v>
      </c>
      <c r="M319" s="16"/>
      <c r="N319" s="16"/>
    </row>
    <row r="320" spans="3:16">
      <c r="C320" s="18">
        <f t="shared" si="6"/>
        <v>9</v>
      </c>
      <c r="D320" s="18" t="s">
        <v>71</v>
      </c>
      <c r="E320" s="158">
        <v>63</v>
      </c>
      <c r="F320" s="158" t="s">
        <v>338</v>
      </c>
      <c r="G320" s="158" t="s">
        <v>248</v>
      </c>
      <c r="H320" s="158">
        <v>67.3</v>
      </c>
      <c r="I320" s="29" t="s">
        <v>1159</v>
      </c>
      <c r="J320" s="18">
        <v>1.4</v>
      </c>
      <c r="K320" s="30">
        <v>4</v>
      </c>
      <c r="L320" s="18">
        <v>5.4</v>
      </c>
      <c r="M320" s="16"/>
      <c r="N320" s="16"/>
    </row>
    <row r="321" spans="3:14">
      <c r="C321" s="18">
        <f t="shared" si="6"/>
        <v>10</v>
      </c>
      <c r="D321" s="18" t="s">
        <v>71</v>
      </c>
      <c r="E321" s="158">
        <v>63</v>
      </c>
      <c r="F321" s="158" t="s">
        <v>248</v>
      </c>
      <c r="G321" s="158" t="s">
        <v>213</v>
      </c>
      <c r="H321" s="158">
        <v>3.6</v>
      </c>
      <c r="I321" s="29" t="s">
        <v>1159</v>
      </c>
      <c r="J321" s="18">
        <v>1.4</v>
      </c>
      <c r="K321" s="30">
        <v>4</v>
      </c>
      <c r="L321" s="18">
        <v>5.4</v>
      </c>
      <c r="M321" s="16"/>
      <c r="N321" s="16"/>
    </row>
    <row r="322" spans="3:14">
      <c r="C322" s="18">
        <f t="shared" si="6"/>
        <v>11</v>
      </c>
      <c r="D322" s="18" t="s">
        <v>71</v>
      </c>
      <c r="E322" s="158">
        <v>63</v>
      </c>
      <c r="F322" s="158" t="s">
        <v>248</v>
      </c>
      <c r="G322" s="158" t="s">
        <v>213</v>
      </c>
      <c r="H322" s="158">
        <v>32.799999999999997</v>
      </c>
      <c r="I322" s="29" t="s">
        <v>1159</v>
      </c>
      <c r="J322" s="18">
        <v>1.4</v>
      </c>
      <c r="K322" s="30">
        <v>4</v>
      </c>
      <c r="L322" s="18">
        <v>5.4</v>
      </c>
      <c r="M322" s="16"/>
      <c r="N322" s="16"/>
    </row>
    <row r="323" spans="3:14">
      <c r="C323" s="18">
        <f t="shared" si="6"/>
        <v>12</v>
      </c>
      <c r="D323" s="18" t="s">
        <v>71</v>
      </c>
      <c r="E323" s="158">
        <v>63</v>
      </c>
      <c r="F323" s="158" t="s">
        <v>213</v>
      </c>
      <c r="G323" s="158" t="s">
        <v>402</v>
      </c>
      <c r="H323" s="158">
        <v>53.9</v>
      </c>
      <c r="I323" s="29" t="s">
        <v>1159</v>
      </c>
      <c r="J323" s="18">
        <v>1.4</v>
      </c>
      <c r="K323" s="30">
        <v>4</v>
      </c>
      <c r="L323" s="18">
        <v>5.4</v>
      </c>
      <c r="M323" s="16"/>
      <c r="N323" s="16"/>
    </row>
    <row r="324" spans="3:14">
      <c r="C324" s="18">
        <f t="shared" si="6"/>
        <v>13</v>
      </c>
      <c r="D324" s="18" t="s">
        <v>71</v>
      </c>
      <c r="E324" s="158">
        <v>63</v>
      </c>
      <c r="F324" s="158" t="s">
        <v>402</v>
      </c>
      <c r="G324" s="158" t="s">
        <v>128</v>
      </c>
      <c r="H324" s="158">
        <v>29.1</v>
      </c>
      <c r="I324" s="29" t="s">
        <v>1159</v>
      </c>
      <c r="J324" s="18">
        <v>1.4</v>
      </c>
      <c r="K324" s="30">
        <v>4</v>
      </c>
      <c r="L324" s="18">
        <v>5.4</v>
      </c>
      <c r="M324" s="16"/>
      <c r="N324" s="16"/>
    </row>
    <row r="325" spans="3:14">
      <c r="C325" s="18">
        <f t="shared" si="6"/>
        <v>14</v>
      </c>
      <c r="D325" s="18" t="s">
        <v>71</v>
      </c>
      <c r="E325" s="158">
        <v>63</v>
      </c>
      <c r="F325" s="158" t="s">
        <v>1155</v>
      </c>
      <c r="G325" s="158" t="s">
        <v>1156</v>
      </c>
      <c r="H325" s="158">
        <v>28.6</v>
      </c>
      <c r="I325" s="29" t="s">
        <v>1159</v>
      </c>
      <c r="J325" s="18">
        <v>1.4</v>
      </c>
      <c r="K325" s="30">
        <v>4</v>
      </c>
      <c r="L325" s="18">
        <v>5.4</v>
      </c>
      <c r="M325" s="16"/>
      <c r="N325" s="16"/>
    </row>
    <row r="326" spans="3:14">
      <c r="C326" s="18">
        <f t="shared" si="6"/>
        <v>15</v>
      </c>
      <c r="D326" s="18" t="s">
        <v>71</v>
      </c>
      <c r="E326" s="158">
        <v>63</v>
      </c>
      <c r="F326" s="158" t="s">
        <v>1157</v>
      </c>
      <c r="G326" s="158" t="s">
        <v>1158</v>
      </c>
      <c r="H326" s="158">
        <v>18.8</v>
      </c>
      <c r="I326" s="29" t="s">
        <v>1159</v>
      </c>
      <c r="J326" s="18">
        <v>1.4</v>
      </c>
      <c r="K326" s="30">
        <v>4</v>
      </c>
      <c r="L326" s="18">
        <v>5.4</v>
      </c>
      <c r="M326" s="16"/>
      <c r="N326" s="16"/>
    </row>
    <row r="327" spans="3:14">
      <c r="C327" s="18">
        <f t="shared" si="6"/>
        <v>16</v>
      </c>
      <c r="D327" s="18" t="s">
        <v>71</v>
      </c>
      <c r="E327" s="158">
        <v>63</v>
      </c>
      <c r="F327" s="158" t="s">
        <v>213</v>
      </c>
      <c r="G327" s="158" t="s">
        <v>403</v>
      </c>
      <c r="H327" s="158">
        <v>59.8</v>
      </c>
      <c r="I327" s="29" t="s">
        <v>1159</v>
      </c>
      <c r="J327" s="18">
        <v>1.4</v>
      </c>
      <c r="K327" s="30">
        <v>4</v>
      </c>
      <c r="L327" s="18">
        <v>5.4</v>
      </c>
      <c r="M327" s="16"/>
      <c r="N327" s="16"/>
    </row>
    <row r="328" spans="3:14">
      <c r="C328" s="18">
        <f t="shared" si="6"/>
        <v>17</v>
      </c>
      <c r="D328" s="18" t="s">
        <v>71</v>
      </c>
      <c r="E328" s="158">
        <v>63</v>
      </c>
      <c r="F328" s="158" t="s">
        <v>403</v>
      </c>
      <c r="G328" s="158" t="s">
        <v>242</v>
      </c>
      <c r="H328" s="158">
        <v>116.1</v>
      </c>
      <c r="I328" s="29" t="s">
        <v>1159</v>
      </c>
      <c r="J328" s="18">
        <v>1.4</v>
      </c>
      <c r="K328" s="30">
        <v>4</v>
      </c>
      <c r="L328" s="18">
        <v>5.4</v>
      </c>
      <c r="M328" s="16"/>
      <c r="N328" s="16"/>
    </row>
    <row r="329" spans="3:14">
      <c r="C329" s="18">
        <f t="shared" si="6"/>
        <v>18</v>
      </c>
      <c r="D329" s="18" t="s">
        <v>71</v>
      </c>
      <c r="E329" s="158">
        <v>63</v>
      </c>
      <c r="F329" s="158" t="s">
        <v>241</v>
      </c>
      <c r="G329" s="158" t="s">
        <v>403</v>
      </c>
      <c r="H329" s="158">
        <v>56.1</v>
      </c>
      <c r="I329" s="29" t="s">
        <v>1159</v>
      </c>
      <c r="J329" s="18">
        <v>1.4</v>
      </c>
      <c r="K329" s="30">
        <v>4</v>
      </c>
      <c r="L329" s="18">
        <v>5.4</v>
      </c>
      <c r="M329" s="16"/>
      <c r="N329" s="16"/>
    </row>
    <row r="330" spans="3:14">
      <c r="C330" s="18">
        <f t="shared" si="6"/>
        <v>19</v>
      </c>
      <c r="D330" s="18" t="s">
        <v>71</v>
      </c>
      <c r="E330" s="158">
        <v>63</v>
      </c>
      <c r="F330" s="158" t="s">
        <v>241</v>
      </c>
      <c r="G330" s="158" t="s">
        <v>403</v>
      </c>
      <c r="H330" s="158">
        <v>19.7</v>
      </c>
      <c r="I330" s="29" t="s">
        <v>1159</v>
      </c>
      <c r="J330" s="18">
        <v>1.4</v>
      </c>
      <c r="K330" s="30">
        <v>4</v>
      </c>
      <c r="L330" s="18">
        <v>5.4</v>
      </c>
      <c r="M330" s="16"/>
      <c r="N330" s="16"/>
    </row>
    <row r="331" spans="3:14">
      <c r="C331" s="18">
        <f t="shared" si="6"/>
        <v>20</v>
      </c>
      <c r="D331" s="18" t="s">
        <v>71</v>
      </c>
      <c r="E331" s="158">
        <v>63</v>
      </c>
      <c r="F331" s="158" t="s">
        <v>241</v>
      </c>
      <c r="G331" s="158" t="s">
        <v>403</v>
      </c>
      <c r="H331" s="158">
        <v>30.2</v>
      </c>
      <c r="I331" s="29" t="s">
        <v>1159</v>
      </c>
      <c r="J331" s="18">
        <v>1.4</v>
      </c>
      <c r="K331" s="30">
        <v>4</v>
      </c>
      <c r="L331" s="18">
        <v>5.4</v>
      </c>
      <c r="M331" s="16"/>
      <c r="N331" s="16"/>
    </row>
    <row r="332" spans="3:14">
      <c r="C332" s="18">
        <f t="shared" si="6"/>
        <v>21</v>
      </c>
      <c r="D332" s="18" t="s">
        <v>71</v>
      </c>
      <c r="E332" s="158">
        <v>63</v>
      </c>
      <c r="F332" s="158" t="s">
        <v>248</v>
      </c>
      <c r="G332" s="158" t="s">
        <v>128</v>
      </c>
      <c r="H332" s="158">
        <v>42.9</v>
      </c>
      <c r="I332" s="29" t="s">
        <v>1159</v>
      </c>
      <c r="J332" s="18">
        <v>1.4</v>
      </c>
      <c r="K332" s="30">
        <v>4</v>
      </c>
      <c r="L332" s="18">
        <v>5.4</v>
      </c>
      <c r="M332" s="16"/>
      <c r="N332" s="16"/>
    </row>
    <row r="333" spans="3:14">
      <c r="C333" s="18">
        <f t="shared" si="6"/>
        <v>22</v>
      </c>
      <c r="D333" s="18" t="s">
        <v>71</v>
      </c>
      <c r="E333" s="158">
        <v>63</v>
      </c>
      <c r="F333" s="158" t="s">
        <v>248</v>
      </c>
      <c r="G333" s="158" t="s">
        <v>128</v>
      </c>
      <c r="H333" s="158">
        <v>3.8</v>
      </c>
      <c r="I333" s="29" t="s">
        <v>1159</v>
      </c>
      <c r="J333" s="18">
        <v>1.4</v>
      </c>
      <c r="K333" s="30">
        <v>4</v>
      </c>
      <c r="L333" s="18">
        <v>5.4</v>
      </c>
      <c r="M333" s="16"/>
      <c r="N333" s="16"/>
    </row>
    <row r="334" spans="3:14">
      <c r="C334" s="18">
        <f t="shared" si="6"/>
        <v>23</v>
      </c>
      <c r="D334" s="18" t="s">
        <v>71</v>
      </c>
      <c r="E334" s="158">
        <v>63</v>
      </c>
      <c r="F334" s="158" t="s">
        <v>248</v>
      </c>
      <c r="G334" s="158" t="s">
        <v>128</v>
      </c>
      <c r="H334" s="158">
        <v>51.5</v>
      </c>
      <c r="I334" s="29" t="s">
        <v>1159</v>
      </c>
      <c r="J334" s="18">
        <v>1.4</v>
      </c>
      <c r="K334" s="30">
        <v>4</v>
      </c>
      <c r="L334" s="18">
        <v>5.4</v>
      </c>
      <c r="M334" s="16"/>
      <c r="N334" s="16"/>
    </row>
    <row r="335" spans="3:14">
      <c r="C335" s="18">
        <f t="shared" si="6"/>
        <v>24</v>
      </c>
      <c r="D335" s="18" t="s">
        <v>71</v>
      </c>
      <c r="E335" s="158">
        <v>63</v>
      </c>
      <c r="F335" s="158" t="s">
        <v>128</v>
      </c>
      <c r="G335" s="158" t="s">
        <v>402</v>
      </c>
      <c r="H335" s="158">
        <v>31.8</v>
      </c>
      <c r="I335" s="29" t="s">
        <v>1159</v>
      </c>
      <c r="J335" s="18">
        <v>1.4</v>
      </c>
      <c r="K335" s="30">
        <v>4</v>
      </c>
      <c r="L335" s="18">
        <v>5.4</v>
      </c>
      <c r="M335" s="16"/>
      <c r="N335" s="16"/>
    </row>
    <row r="336" spans="3:14">
      <c r="C336" s="18">
        <f t="shared" si="6"/>
        <v>25</v>
      </c>
      <c r="D336" s="18" t="s">
        <v>71</v>
      </c>
      <c r="E336" s="158">
        <v>63</v>
      </c>
      <c r="F336" s="158" t="s">
        <v>128</v>
      </c>
      <c r="G336" s="158" t="s">
        <v>402</v>
      </c>
      <c r="H336" s="158">
        <v>10.7</v>
      </c>
      <c r="I336" s="29" t="s">
        <v>1159</v>
      </c>
      <c r="J336" s="18">
        <v>1.4</v>
      </c>
      <c r="K336" s="30">
        <v>4</v>
      </c>
      <c r="L336" s="18">
        <v>5.4</v>
      </c>
      <c r="M336" s="16"/>
      <c r="N336" s="16"/>
    </row>
    <row r="337" spans="3:14">
      <c r="C337" s="18">
        <f t="shared" si="6"/>
        <v>26</v>
      </c>
      <c r="D337" s="18" t="s">
        <v>71</v>
      </c>
      <c r="E337" s="158">
        <v>63</v>
      </c>
      <c r="F337" s="158" t="s">
        <v>128</v>
      </c>
      <c r="G337" s="158" t="s">
        <v>402</v>
      </c>
      <c r="H337" s="158">
        <v>3.6</v>
      </c>
      <c r="I337" s="29" t="s">
        <v>1159</v>
      </c>
      <c r="J337" s="18">
        <v>1.4</v>
      </c>
      <c r="K337" s="30">
        <v>4</v>
      </c>
      <c r="L337" s="18">
        <v>5.4</v>
      </c>
      <c r="M337" s="16"/>
      <c r="N337" s="16"/>
    </row>
    <row r="338" spans="3:14">
      <c r="C338" s="18">
        <f t="shared" si="6"/>
        <v>27</v>
      </c>
      <c r="D338" s="18" t="s">
        <v>71</v>
      </c>
      <c r="E338" s="158">
        <v>63</v>
      </c>
      <c r="F338" s="158" t="s">
        <v>128</v>
      </c>
      <c r="G338" s="158" t="s">
        <v>205</v>
      </c>
      <c r="H338" s="158">
        <v>36.299999999999997</v>
      </c>
      <c r="I338" s="29" t="s">
        <v>1159</v>
      </c>
      <c r="J338" s="18">
        <v>1.4</v>
      </c>
      <c r="K338" s="30">
        <v>4</v>
      </c>
      <c r="L338" s="18">
        <v>5.4</v>
      </c>
      <c r="M338" s="16"/>
      <c r="N338" s="16"/>
    </row>
    <row r="339" spans="3:14">
      <c r="C339" s="18">
        <f t="shared" si="6"/>
        <v>28</v>
      </c>
      <c r="D339" s="18" t="s">
        <v>71</v>
      </c>
      <c r="E339" s="158">
        <v>63</v>
      </c>
      <c r="F339" s="158" t="s">
        <v>205</v>
      </c>
      <c r="G339" s="158" t="s">
        <v>129</v>
      </c>
      <c r="H339" s="158">
        <v>2.4</v>
      </c>
      <c r="I339" s="29" t="s">
        <v>1159</v>
      </c>
      <c r="J339" s="18">
        <v>1.4</v>
      </c>
      <c r="K339" s="30">
        <v>4</v>
      </c>
      <c r="L339" s="18">
        <v>5.4</v>
      </c>
      <c r="M339" s="16"/>
      <c r="N339" s="16"/>
    </row>
    <row r="340" spans="3:14">
      <c r="C340" s="18">
        <f t="shared" si="6"/>
        <v>29</v>
      </c>
      <c r="D340" s="18" t="s">
        <v>71</v>
      </c>
      <c r="E340" s="158">
        <v>63</v>
      </c>
      <c r="F340" s="158" t="s">
        <v>205</v>
      </c>
      <c r="G340" s="158" t="s">
        <v>129</v>
      </c>
      <c r="H340" s="158">
        <v>27.7</v>
      </c>
      <c r="I340" s="29" t="s">
        <v>1159</v>
      </c>
      <c r="J340" s="18">
        <v>1.4</v>
      </c>
      <c r="K340" s="30">
        <v>4</v>
      </c>
      <c r="L340" s="18">
        <v>5.4</v>
      </c>
      <c r="M340" s="16"/>
      <c r="N340" s="16"/>
    </row>
    <row r="341" spans="3:14">
      <c r="C341" s="18">
        <f t="shared" si="6"/>
        <v>30</v>
      </c>
      <c r="D341" s="18" t="s">
        <v>71</v>
      </c>
      <c r="E341" s="158">
        <v>110</v>
      </c>
      <c r="F341" s="158" t="s">
        <v>425</v>
      </c>
      <c r="G341" s="158" t="s">
        <v>399</v>
      </c>
      <c r="H341" s="158">
        <v>81.400000000000006</v>
      </c>
      <c r="I341" s="29" t="s">
        <v>1159</v>
      </c>
      <c r="J341" s="18">
        <v>1.4</v>
      </c>
      <c r="K341" s="30">
        <v>4</v>
      </c>
      <c r="L341" s="18">
        <v>5.4</v>
      </c>
      <c r="M341" s="16"/>
      <c r="N341" s="16"/>
    </row>
    <row r="342" spans="3:14">
      <c r="C342" s="18">
        <f t="shared" si="6"/>
        <v>31</v>
      </c>
      <c r="D342" s="18" t="s">
        <v>71</v>
      </c>
      <c r="E342" s="158">
        <v>140</v>
      </c>
      <c r="F342" s="158" t="s">
        <v>399</v>
      </c>
      <c r="G342" s="158" t="s">
        <v>236</v>
      </c>
      <c r="H342" s="158">
        <v>32.299999999999997</v>
      </c>
      <c r="I342" s="29" t="s">
        <v>1159</v>
      </c>
      <c r="J342" s="18">
        <v>1.4</v>
      </c>
      <c r="K342" s="30">
        <v>4</v>
      </c>
      <c r="L342" s="18">
        <v>5.4</v>
      </c>
      <c r="M342" s="16"/>
      <c r="N342" s="16"/>
    </row>
    <row r="343" spans="3:14">
      <c r="C343" s="18">
        <f t="shared" si="6"/>
        <v>32</v>
      </c>
      <c r="D343" s="18" t="s">
        <v>71</v>
      </c>
      <c r="E343" s="158">
        <v>75</v>
      </c>
      <c r="F343" s="158" t="s">
        <v>236</v>
      </c>
      <c r="G343" s="158" t="s">
        <v>297</v>
      </c>
      <c r="H343" s="158">
        <v>57.1</v>
      </c>
      <c r="I343" s="29" t="s">
        <v>1159</v>
      </c>
      <c r="J343" s="18">
        <v>1.4</v>
      </c>
      <c r="K343" s="30">
        <v>4</v>
      </c>
      <c r="L343" s="18">
        <v>5.4</v>
      </c>
      <c r="M343" s="16"/>
      <c r="N343" s="16"/>
    </row>
    <row r="344" spans="3:14">
      <c r="C344" s="18">
        <f t="shared" si="6"/>
        <v>33</v>
      </c>
      <c r="D344" s="18" t="s">
        <v>71</v>
      </c>
      <c r="E344" s="158">
        <v>63</v>
      </c>
      <c r="F344" s="158" t="s">
        <v>297</v>
      </c>
      <c r="G344" s="158" t="s">
        <v>122</v>
      </c>
      <c r="H344" s="158">
        <v>103.9</v>
      </c>
      <c r="I344" s="29" t="s">
        <v>1159</v>
      </c>
      <c r="J344" s="18">
        <v>1.4</v>
      </c>
      <c r="K344" s="30">
        <v>4</v>
      </c>
      <c r="L344" s="18">
        <v>5.4</v>
      </c>
      <c r="M344" s="16"/>
      <c r="N344" s="16"/>
    </row>
    <row r="345" spans="3:14">
      <c r="C345" s="18">
        <f t="shared" si="6"/>
        <v>34</v>
      </c>
      <c r="D345" s="18" t="s">
        <v>71</v>
      </c>
      <c r="E345" s="158">
        <v>63</v>
      </c>
      <c r="F345" s="158" t="s">
        <v>297</v>
      </c>
      <c r="G345" s="158" t="s">
        <v>234</v>
      </c>
      <c r="H345" s="158">
        <v>58.5</v>
      </c>
      <c r="I345" s="158" t="s">
        <v>1159</v>
      </c>
      <c r="J345" s="18">
        <v>1.4</v>
      </c>
      <c r="K345" s="30">
        <v>4</v>
      </c>
      <c r="L345" s="18">
        <v>5.4</v>
      </c>
      <c r="M345" s="156"/>
      <c r="N345" s="156"/>
    </row>
    <row r="346" spans="3:14">
      <c r="C346" s="18">
        <f t="shared" si="6"/>
        <v>35</v>
      </c>
      <c r="D346" s="18" t="s">
        <v>71</v>
      </c>
      <c r="E346" s="158">
        <v>63</v>
      </c>
      <c r="F346" s="158" t="s">
        <v>1160</v>
      </c>
      <c r="G346" s="158" t="s">
        <v>203</v>
      </c>
      <c r="H346" s="158">
        <v>25.8</v>
      </c>
      <c r="I346" s="158" t="s">
        <v>1159</v>
      </c>
      <c r="J346" s="18">
        <v>1.4</v>
      </c>
      <c r="K346" s="30">
        <v>4</v>
      </c>
      <c r="L346" s="18">
        <v>5.4</v>
      </c>
      <c r="M346" s="156"/>
      <c r="N346" s="156"/>
    </row>
    <row r="347" spans="3:14">
      <c r="C347" s="18">
        <f t="shared" si="6"/>
        <v>36</v>
      </c>
      <c r="D347" s="18" t="s">
        <v>71</v>
      </c>
      <c r="E347" s="158">
        <v>63</v>
      </c>
      <c r="F347" s="158" t="s">
        <v>234</v>
      </c>
      <c r="G347" s="158" t="s">
        <v>357</v>
      </c>
      <c r="H347" s="158">
        <v>33</v>
      </c>
      <c r="I347" s="158" t="s">
        <v>1159</v>
      </c>
      <c r="J347" s="18">
        <v>1.4</v>
      </c>
      <c r="K347" s="30">
        <v>4</v>
      </c>
      <c r="L347" s="18">
        <v>5.4</v>
      </c>
      <c r="M347" s="156"/>
      <c r="N347" s="156"/>
    </row>
    <row r="348" spans="3:14">
      <c r="C348" s="18">
        <f t="shared" si="6"/>
        <v>37</v>
      </c>
      <c r="D348" s="18" t="s">
        <v>71</v>
      </c>
      <c r="E348" s="158">
        <v>63</v>
      </c>
      <c r="F348" s="158" t="s">
        <v>1161</v>
      </c>
      <c r="G348" s="158" t="s">
        <v>1162</v>
      </c>
      <c r="H348" s="158">
        <v>17.3</v>
      </c>
      <c r="I348" s="158" t="s">
        <v>1159</v>
      </c>
      <c r="J348" s="18">
        <v>1.4</v>
      </c>
      <c r="K348" s="30">
        <v>4</v>
      </c>
      <c r="L348" s="18">
        <v>5.4</v>
      </c>
      <c r="M348" s="156"/>
      <c r="N348" s="156"/>
    </row>
    <row r="349" spans="3:14">
      <c r="C349" s="18">
        <f t="shared" si="6"/>
        <v>38</v>
      </c>
      <c r="D349" s="18" t="s">
        <v>71</v>
      </c>
      <c r="E349" s="158">
        <v>63</v>
      </c>
      <c r="F349" s="158" t="s">
        <v>1161</v>
      </c>
      <c r="G349" s="158" t="s">
        <v>445</v>
      </c>
      <c r="H349" s="158">
        <v>157.80000000000001</v>
      </c>
      <c r="I349" s="158" t="s">
        <v>1159</v>
      </c>
      <c r="J349" s="18">
        <v>1.4</v>
      </c>
      <c r="K349" s="30">
        <v>4</v>
      </c>
      <c r="L349" s="18">
        <v>5.4</v>
      </c>
      <c r="M349" s="156"/>
      <c r="N349" s="156"/>
    </row>
    <row r="350" spans="3:14">
      <c r="C350" s="18">
        <f t="shared" si="6"/>
        <v>39</v>
      </c>
      <c r="D350" s="18" t="s">
        <v>71</v>
      </c>
      <c r="E350" s="158">
        <v>63</v>
      </c>
      <c r="F350" s="158" t="s">
        <v>445</v>
      </c>
      <c r="G350" s="158" t="s">
        <v>246</v>
      </c>
      <c r="H350" s="158">
        <v>20</v>
      </c>
      <c r="I350" s="158" t="s">
        <v>1159</v>
      </c>
      <c r="J350" s="18">
        <v>1.4</v>
      </c>
      <c r="K350" s="30">
        <v>4</v>
      </c>
      <c r="L350" s="18">
        <v>5.4</v>
      </c>
      <c r="M350" s="156"/>
      <c r="N350" s="156"/>
    </row>
    <row r="351" spans="3:14">
      <c r="C351" s="18">
        <f t="shared" si="6"/>
        <v>40</v>
      </c>
      <c r="D351" s="18" t="s">
        <v>71</v>
      </c>
      <c r="E351" s="158">
        <v>63</v>
      </c>
      <c r="F351" s="158" t="s">
        <v>445</v>
      </c>
      <c r="G351" s="158" t="s">
        <v>246</v>
      </c>
      <c r="H351" s="158">
        <v>74.099999999999994</v>
      </c>
      <c r="I351" s="158" t="s">
        <v>1159</v>
      </c>
      <c r="J351" s="18">
        <v>1.4</v>
      </c>
      <c r="K351" s="30">
        <v>4</v>
      </c>
      <c r="L351" s="18">
        <v>5.4</v>
      </c>
      <c r="M351" s="156"/>
      <c r="N351" s="156"/>
    </row>
    <row r="352" spans="3:14">
      <c r="C352" s="18">
        <f t="shared" si="6"/>
        <v>41</v>
      </c>
      <c r="D352" s="18" t="s">
        <v>71</v>
      </c>
      <c r="E352" s="158">
        <v>63</v>
      </c>
      <c r="F352" s="158" t="s">
        <v>1163</v>
      </c>
      <c r="G352" s="158" t="s">
        <v>1164</v>
      </c>
      <c r="H352" s="158">
        <v>2.5</v>
      </c>
      <c r="I352" s="158" t="s">
        <v>1159</v>
      </c>
      <c r="J352" s="18">
        <v>1.4</v>
      </c>
      <c r="K352" s="30">
        <v>4</v>
      </c>
      <c r="L352" s="18">
        <v>5.4</v>
      </c>
      <c r="M352" s="156"/>
      <c r="N352" s="156"/>
    </row>
    <row r="353" spans="3:14">
      <c r="C353" s="18">
        <f t="shared" si="6"/>
        <v>42</v>
      </c>
      <c r="D353" s="18" t="s">
        <v>71</v>
      </c>
      <c r="E353" s="158">
        <v>63</v>
      </c>
      <c r="F353" s="158" t="s">
        <v>1163</v>
      </c>
      <c r="G353" s="158" t="s">
        <v>1164</v>
      </c>
      <c r="H353" s="158">
        <v>118.7</v>
      </c>
      <c r="I353" s="158" t="s">
        <v>1159</v>
      </c>
      <c r="J353" s="18">
        <v>1.4</v>
      </c>
      <c r="K353" s="30">
        <v>4</v>
      </c>
      <c r="L353" s="18">
        <v>5.4</v>
      </c>
      <c r="M353" s="156"/>
      <c r="N353" s="156"/>
    </row>
    <row r="354" spans="3:14">
      <c r="C354" s="18">
        <f t="shared" si="6"/>
        <v>43</v>
      </c>
      <c r="D354" s="18" t="s">
        <v>71</v>
      </c>
      <c r="E354" s="158">
        <v>63</v>
      </c>
      <c r="F354" s="158" t="s">
        <v>1165</v>
      </c>
      <c r="G354" s="158" t="s">
        <v>1166</v>
      </c>
      <c r="H354" s="158">
        <v>28.4</v>
      </c>
      <c r="I354" s="158" t="s">
        <v>1159</v>
      </c>
      <c r="J354" s="18">
        <v>1.4</v>
      </c>
      <c r="K354" s="30">
        <v>4</v>
      </c>
      <c r="L354" s="18">
        <v>5.4</v>
      </c>
      <c r="M354" s="156"/>
      <c r="N354" s="156"/>
    </row>
    <row r="355" spans="3:14">
      <c r="C355" s="18">
        <f t="shared" si="6"/>
        <v>44</v>
      </c>
      <c r="D355" s="18" t="s">
        <v>71</v>
      </c>
      <c r="E355" s="158">
        <v>63</v>
      </c>
      <c r="F355" s="158" t="s">
        <v>221</v>
      </c>
      <c r="G355" s="158" t="s">
        <v>203</v>
      </c>
      <c r="H355" s="158">
        <v>122.1</v>
      </c>
      <c r="I355" s="158" t="s">
        <v>1159</v>
      </c>
      <c r="J355" s="18">
        <v>1.4</v>
      </c>
      <c r="K355" s="30">
        <v>4</v>
      </c>
      <c r="L355" s="18">
        <v>5.4</v>
      </c>
      <c r="M355" s="156"/>
      <c r="N355" s="156"/>
    </row>
    <row r="356" spans="3:14">
      <c r="C356" s="18">
        <f t="shared" si="6"/>
        <v>45</v>
      </c>
      <c r="D356" s="18" t="s">
        <v>71</v>
      </c>
      <c r="E356" s="158">
        <v>63</v>
      </c>
      <c r="F356" s="158" t="s">
        <v>203</v>
      </c>
      <c r="G356" s="158" t="s">
        <v>785</v>
      </c>
      <c r="H356" s="158">
        <v>67.5</v>
      </c>
      <c r="I356" s="158" t="s">
        <v>1159</v>
      </c>
      <c r="J356" s="18">
        <v>1.4</v>
      </c>
      <c r="K356" s="30">
        <v>4</v>
      </c>
      <c r="L356" s="18">
        <v>5.4</v>
      </c>
      <c r="M356" s="156"/>
      <c r="N356" s="156"/>
    </row>
    <row r="357" spans="3:14">
      <c r="C357" s="18">
        <f t="shared" si="6"/>
        <v>46</v>
      </c>
      <c r="D357" s="18" t="s">
        <v>71</v>
      </c>
      <c r="E357" s="158">
        <v>63</v>
      </c>
      <c r="F357" s="158" t="s">
        <v>203</v>
      </c>
      <c r="G357" s="158" t="s">
        <v>785</v>
      </c>
      <c r="H357" s="158">
        <v>7.9</v>
      </c>
      <c r="I357" s="158" t="s">
        <v>1159</v>
      </c>
      <c r="J357" s="18">
        <v>1.4</v>
      </c>
      <c r="K357" s="30">
        <v>4</v>
      </c>
      <c r="L357" s="18">
        <v>5.4</v>
      </c>
      <c r="M357" s="156"/>
      <c r="N357" s="156"/>
    </row>
    <row r="358" spans="3:14">
      <c r="C358" s="18">
        <f t="shared" si="6"/>
        <v>47</v>
      </c>
      <c r="D358" s="18" t="s">
        <v>71</v>
      </c>
      <c r="E358" s="158">
        <v>63</v>
      </c>
      <c r="F358" s="158" t="s">
        <v>203</v>
      </c>
      <c r="G358" s="158" t="s">
        <v>785</v>
      </c>
      <c r="H358" s="158">
        <v>11.2</v>
      </c>
      <c r="I358" s="158" t="s">
        <v>1159</v>
      </c>
      <c r="J358" s="18">
        <v>1.4</v>
      </c>
      <c r="K358" s="30">
        <v>4</v>
      </c>
      <c r="L358" s="18">
        <v>5.4</v>
      </c>
      <c r="M358" s="156"/>
      <c r="N358" s="156"/>
    </row>
    <row r="359" spans="3:14">
      <c r="C359" s="18">
        <f t="shared" si="6"/>
        <v>48</v>
      </c>
      <c r="D359" s="18" t="s">
        <v>71</v>
      </c>
      <c r="E359" s="158">
        <v>63</v>
      </c>
      <c r="F359" s="158" t="s">
        <v>203</v>
      </c>
      <c r="G359" s="158" t="s">
        <v>785</v>
      </c>
      <c r="H359" s="158">
        <v>10.1</v>
      </c>
      <c r="I359" s="158" t="s">
        <v>1159</v>
      </c>
      <c r="J359" s="18">
        <v>1.4</v>
      </c>
      <c r="K359" s="30">
        <v>4</v>
      </c>
      <c r="L359" s="18">
        <v>5.4</v>
      </c>
      <c r="M359" s="156"/>
      <c r="N359" s="156"/>
    </row>
    <row r="360" spans="3:14">
      <c r="C360" s="18">
        <f t="shared" si="6"/>
        <v>49</v>
      </c>
      <c r="D360" s="18" t="s">
        <v>71</v>
      </c>
      <c r="E360" s="158">
        <v>140</v>
      </c>
      <c r="F360" s="158" t="s">
        <v>785</v>
      </c>
      <c r="G360" s="158" t="s">
        <v>399</v>
      </c>
      <c r="H360" s="158">
        <v>4.2</v>
      </c>
      <c r="I360" s="158" t="s">
        <v>1159</v>
      </c>
      <c r="J360" s="18">
        <v>1.4</v>
      </c>
      <c r="K360" s="30">
        <v>4</v>
      </c>
      <c r="L360" s="18">
        <v>5.4</v>
      </c>
      <c r="M360" s="156"/>
      <c r="N360" s="156"/>
    </row>
    <row r="361" spans="3:14">
      <c r="C361" s="18">
        <f t="shared" si="6"/>
        <v>50</v>
      </c>
      <c r="D361" s="18" t="s">
        <v>71</v>
      </c>
      <c r="E361" s="158">
        <v>140</v>
      </c>
      <c r="F361" s="158" t="s">
        <v>785</v>
      </c>
      <c r="G361" s="158" t="s">
        <v>399</v>
      </c>
      <c r="H361" s="158">
        <v>119.8</v>
      </c>
      <c r="I361" s="158" t="s">
        <v>1159</v>
      </c>
      <c r="J361" s="18">
        <v>1.4</v>
      </c>
      <c r="K361" s="30">
        <v>4</v>
      </c>
      <c r="L361" s="18">
        <v>5.4</v>
      </c>
      <c r="M361" s="156"/>
      <c r="N361" s="156"/>
    </row>
    <row r="362" spans="3:14">
      <c r="C362" s="18">
        <f t="shared" si="6"/>
        <v>51</v>
      </c>
      <c r="D362" s="18" t="s">
        <v>71</v>
      </c>
      <c r="E362" s="158">
        <v>140</v>
      </c>
      <c r="F362" s="158" t="s">
        <v>785</v>
      </c>
      <c r="G362" s="158" t="s">
        <v>399</v>
      </c>
      <c r="H362" s="158">
        <v>5.9</v>
      </c>
      <c r="I362" s="158" t="s">
        <v>1159</v>
      </c>
      <c r="J362" s="18">
        <v>1.4</v>
      </c>
      <c r="K362" s="30">
        <v>4</v>
      </c>
      <c r="L362" s="18">
        <v>5.4</v>
      </c>
      <c r="M362" s="156"/>
      <c r="N362" s="156"/>
    </row>
    <row r="363" spans="3:14">
      <c r="C363" s="18">
        <f t="shared" si="6"/>
        <v>52</v>
      </c>
      <c r="D363" s="18" t="s">
        <v>71</v>
      </c>
      <c r="E363" s="158">
        <v>140</v>
      </c>
      <c r="F363" s="158" t="s">
        <v>785</v>
      </c>
      <c r="G363" s="158" t="s">
        <v>1167</v>
      </c>
      <c r="H363" s="158">
        <v>23</v>
      </c>
      <c r="I363" s="158" t="s">
        <v>1159</v>
      </c>
      <c r="J363" s="18">
        <v>1.4</v>
      </c>
      <c r="K363" s="30">
        <v>4</v>
      </c>
      <c r="L363" s="18">
        <v>5.4</v>
      </c>
      <c r="M363" s="156"/>
      <c r="N363" s="156"/>
    </row>
    <row r="364" spans="3:14">
      <c r="C364" s="18">
        <f t="shared" si="6"/>
        <v>53</v>
      </c>
      <c r="D364" s="18" t="s">
        <v>71</v>
      </c>
      <c r="E364" s="158">
        <v>63</v>
      </c>
      <c r="F364" s="158" t="s">
        <v>1167</v>
      </c>
      <c r="G364" s="158" t="s">
        <v>404</v>
      </c>
      <c r="H364" s="158">
        <v>3.5</v>
      </c>
      <c r="I364" s="158" t="s">
        <v>1159</v>
      </c>
      <c r="J364" s="18">
        <v>1.4</v>
      </c>
      <c r="K364" s="30">
        <v>4</v>
      </c>
      <c r="L364" s="18">
        <v>5.4</v>
      </c>
      <c r="M364" s="156"/>
      <c r="N364" s="156"/>
    </row>
    <row r="365" spans="3:14">
      <c r="C365" s="18">
        <f t="shared" si="6"/>
        <v>54</v>
      </c>
      <c r="D365" s="18" t="s">
        <v>71</v>
      </c>
      <c r="E365" s="158">
        <v>63</v>
      </c>
      <c r="F365" s="158" t="s">
        <v>1167</v>
      </c>
      <c r="G365" s="158" t="s">
        <v>404</v>
      </c>
      <c r="H365" s="158">
        <v>22.7</v>
      </c>
      <c r="I365" s="158" t="s">
        <v>1159</v>
      </c>
      <c r="J365" s="18">
        <v>1.4</v>
      </c>
      <c r="K365" s="30">
        <v>4</v>
      </c>
      <c r="L365" s="18">
        <v>5.4</v>
      </c>
      <c r="M365" s="156"/>
      <c r="N365" s="156"/>
    </row>
    <row r="366" spans="3:14">
      <c r="C366" s="18">
        <f t="shared" si="6"/>
        <v>55</v>
      </c>
      <c r="D366" s="18" t="s">
        <v>71</v>
      </c>
      <c r="E366" s="158">
        <v>63</v>
      </c>
      <c r="F366" s="158" t="s">
        <v>1167</v>
      </c>
      <c r="G366" s="158" t="s">
        <v>404</v>
      </c>
      <c r="H366" s="158">
        <v>158.69999999999999</v>
      </c>
      <c r="I366" s="158" t="s">
        <v>1159</v>
      </c>
      <c r="J366" s="18">
        <v>1.4</v>
      </c>
      <c r="K366" s="30">
        <v>4</v>
      </c>
      <c r="L366" s="18">
        <v>5.4</v>
      </c>
      <c r="M366" s="156"/>
      <c r="N366" s="156"/>
    </row>
    <row r="367" spans="3:14">
      <c r="C367" s="18">
        <f t="shared" si="6"/>
        <v>56</v>
      </c>
      <c r="D367" s="18" t="s">
        <v>71</v>
      </c>
      <c r="E367" s="158">
        <v>140</v>
      </c>
      <c r="F367" s="158" t="s">
        <v>1167</v>
      </c>
      <c r="G367" s="158" t="s">
        <v>198</v>
      </c>
      <c r="H367" s="158">
        <v>181.9</v>
      </c>
      <c r="I367" s="158" t="s">
        <v>1159</v>
      </c>
      <c r="J367" s="18">
        <v>1.4</v>
      </c>
      <c r="K367" s="30">
        <v>4</v>
      </c>
      <c r="L367" s="18">
        <v>5.4</v>
      </c>
      <c r="M367" s="156"/>
      <c r="N367" s="156"/>
    </row>
    <row r="368" spans="3:14">
      <c r="C368" s="18">
        <f t="shared" si="6"/>
        <v>57</v>
      </c>
      <c r="D368" s="18" t="s">
        <v>71</v>
      </c>
      <c r="E368" s="158">
        <v>63</v>
      </c>
      <c r="F368" s="158" t="s">
        <v>198</v>
      </c>
      <c r="G368" s="158" t="s">
        <v>404</v>
      </c>
      <c r="H368" s="158">
        <v>3</v>
      </c>
      <c r="I368" s="158" t="s">
        <v>1159</v>
      </c>
      <c r="J368" s="18">
        <v>1.4</v>
      </c>
      <c r="K368" s="30">
        <v>4</v>
      </c>
      <c r="L368" s="18">
        <v>5.4</v>
      </c>
      <c r="M368" s="156"/>
      <c r="N368" s="156"/>
    </row>
    <row r="369" spans="3:14">
      <c r="C369" s="18">
        <f t="shared" si="6"/>
        <v>58</v>
      </c>
      <c r="D369" s="18" t="s">
        <v>71</v>
      </c>
      <c r="E369" s="158">
        <v>63</v>
      </c>
      <c r="F369" s="158" t="s">
        <v>198</v>
      </c>
      <c r="G369" s="158" t="s">
        <v>404</v>
      </c>
      <c r="H369" s="158">
        <v>131.6</v>
      </c>
      <c r="I369" s="158" t="s">
        <v>1159</v>
      </c>
      <c r="J369" s="18">
        <v>1.4</v>
      </c>
      <c r="K369" s="30">
        <v>4</v>
      </c>
      <c r="L369" s="18">
        <v>5.4</v>
      </c>
      <c r="M369" s="156"/>
      <c r="N369" s="156"/>
    </row>
    <row r="370" spans="3:14">
      <c r="C370" s="18">
        <f t="shared" si="6"/>
        <v>59</v>
      </c>
      <c r="D370" s="18" t="s">
        <v>71</v>
      </c>
      <c r="E370" s="158">
        <v>63</v>
      </c>
      <c r="F370" s="158" t="s">
        <v>1168</v>
      </c>
      <c r="G370" s="158" t="s">
        <v>1169</v>
      </c>
      <c r="H370" s="158">
        <v>58</v>
      </c>
      <c r="I370" s="158" t="s">
        <v>1159</v>
      </c>
      <c r="J370" s="18">
        <v>1.4</v>
      </c>
      <c r="K370" s="30">
        <v>4</v>
      </c>
      <c r="L370" s="18">
        <v>5.4</v>
      </c>
      <c r="M370" s="156"/>
      <c r="N370" s="156"/>
    </row>
    <row r="371" spans="3:14">
      <c r="C371" s="18">
        <f t="shared" si="6"/>
        <v>60</v>
      </c>
      <c r="D371" s="18" t="s">
        <v>71</v>
      </c>
      <c r="E371" s="158">
        <v>63</v>
      </c>
      <c r="F371" s="158" t="s">
        <v>404</v>
      </c>
      <c r="G371" s="158" t="s">
        <v>220</v>
      </c>
      <c r="H371" s="158">
        <v>67.400000000000006</v>
      </c>
      <c r="I371" s="158" t="s">
        <v>1159</v>
      </c>
      <c r="J371" s="18">
        <v>1.4</v>
      </c>
      <c r="K371" s="30">
        <v>4</v>
      </c>
      <c r="L371" s="18">
        <v>5.4</v>
      </c>
      <c r="M371" s="156"/>
      <c r="N371" s="156"/>
    </row>
    <row r="372" spans="3:14">
      <c r="C372" s="18">
        <f t="shared" si="6"/>
        <v>61</v>
      </c>
      <c r="D372" s="18" t="s">
        <v>71</v>
      </c>
      <c r="E372" s="158">
        <v>63</v>
      </c>
      <c r="F372" s="158" t="s">
        <v>335</v>
      </c>
      <c r="G372" s="158" t="s">
        <v>190</v>
      </c>
      <c r="H372" s="158">
        <v>147.6</v>
      </c>
      <c r="I372" s="158" t="s">
        <v>1159</v>
      </c>
      <c r="J372" s="18">
        <v>1.4</v>
      </c>
      <c r="K372" s="30">
        <v>4</v>
      </c>
      <c r="L372" s="18">
        <v>5.4</v>
      </c>
      <c r="M372" s="156"/>
      <c r="N372" s="156"/>
    </row>
    <row r="373" spans="3:14">
      <c r="C373" s="18">
        <f t="shared" si="6"/>
        <v>62</v>
      </c>
      <c r="D373" s="18" t="s">
        <v>71</v>
      </c>
      <c r="E373" s="158">
        <v>63</v>
      </c>
      <c r="F373" s="158" t="s">
        <v>190</v>
      </c>
      <c r="G373" s="158" t="s">
        <v>244</v>
      </c>
      <c r="H373" s="158">
        <v>153.30000000000001</v>
      </c>
      <c r="I373" s="158" t="s">
        <v>1159</v>
      </c>
      <c r="J373" s="18">
        <v>1.4</v>
      </c>
      <c r="K373" s="30">
        <v>4</v>
      </c>
      <c r="L373" s="18">
        <v>5.4</v>
      </c>
      <c r="M373" s="156"/>
      <c r="N373" s="156"/>
    </row>
    <row r="374" spans="3:14">
      <c r="C374" s="18"/>
      <c r="D374" s="18"/>
      <c r="E374" s="29"/>
      <c r="F374" s="29"/>
      <c r="G374" s="29"/>
      <c r="H374" s="29"/>
      <c r="I374" s="29"/>
      <c r="J374" s="18"/>
      <c r="K374" s="30"/>
      <c r="L374" s="18"/>
      <c r="M374" s="16"/>
      <c r="N374" s="16"/>
    </row>
    <row r="375" spans="3:14">
      <c r="C375" s="18"/>
      <c r="D375" s="18"/>
      <c r="E375" s="29"/>
      <c r="F375" s="29"/>
      <c r="G375" s="29"/>
      <c r="H375" s="29"/>
      <c r="I375" s="29"/>
      <c r="J375" s="18"/>
      <c r="K375" s="30"/>
      <c r="L375" s="18"/>
      <c r="M375" s="16"/>
      <c r="N375" s="16"/>
    </row>
    <row r="376" spans="3:14">
      <c r="C376" s="374"/>
      <c r="D376" s="374"/>
      <c r="E376" s="374"/>
      <c r="F376" s="374"/>
      <c r="G376" s="374"/>
      <c r="H376" s="374"/>
      <c r="I376" s="374"/>
      <c r="J376" s="374"/>
      <c r="K376" s="374"/>
      <c r="L376" s="374"/>
      <c r="M376" s="374"/>
      <c r="N376" s="374"/>
    </row>
    <row r="377" spans="3:14">
      <c r="C377" s="324"/>
      <c r="D377" s="324"/>
      <c r="E377" s="325" t="s">
        <v>86</v>
      </c>
      <c r="F377" s="325"/>
      <c r="G377" s="325"/>
      <c r="H377" s="325"/>
      <c r="I377" s="325" t="s">
        <v>87</v>
      </c>
      <c r="J377" s="325"/>
      <c r="K377" s="325"/>
      <c r="L377" s="325" t="s">
        <v>39</v>
      </c>
      <c r="M377" s="325"/>
      <c r="N377" s="325"/>
    </row>
    <row r="378" spans="3:14">
      <c r="C378" s="295" t="s">
        <v>40</v>
      </c>
      <c r="D378" s="295"/>
      <c r="E378" s="317"/>
      <c r="F378" s="317"/>
      <c r="G378" s="317"/>
      <c r="H378" s="317"/>
      <c r="I378" s="317"/>
      <c r="J378" s="317"/>
      <c r="K378" s="317"/>
      <c r="L378" s="317"/>
      <c r="M378" s="317"/>
      <c r="N378" s="317"/>
    </row>
    <row r="379" spans="3:14">
      <c r="C379" s="295" t="s">
        <v>41</v>
      </c>
      <c r="D379" s="295"/>
      <c r="E379" s="317"/>
      <c r="F379" s="317"/>
      <c r="G379" s="317"/>
      <c r="H379" s="317"/>
      <c r="I379" s="317"/>
      <c r="J379" s="317"/>
      <c r="K379" s="317"/>
      <c r="L379" s="317"/>
      <c r="M379" s="317"/>
      <c r="N379" s="317"/>
    </row>
    <row r="380" spans="3:14">
      <c r="C380" s="295" t="s">
        <v>42</v>
      </c>
      <c r="D380" s="295"/>
      <c r="E380" s="317"/>
      <c r="F380" s="317"/>
      <c r="G380" s="317"/>
      <c r="H380" s="317"/>
      <c r="I380" s="317"/>
      <c r="J380" s="317"/>
      <c r="K380" s="317"/>
      <c r="L380" s="317"/>
      <c r="M380" s="317"/>
      <c r="N380" s="317"/>
    </row>
    <row r="381" spans="3:14">
      <c r="C381" s="295" t="s">
        <v>43</v>
      </c>
      <c r="D381" s="295"/>
      <c r="E381" s="315"/>
      <c r="F381" s="316"/>
      <c r="G381" s="316"/>
      <c r="H381" s="316"/>
      <c r="I381" s="317"/>
      <c r="J381" s="317"/>
      <c r="K381" s="317"/>
      <c r="L381" s="317"/>
      <c r="M381" s="317"/>
      <c r="N381" s="317"/>
    </row>
    <row r="383" spans="3:14">
      <c r="C383" s="206"/>
      <c r="D383" s="211" t="s">
        <v>44</v>
      </c>
      <c r="E383" s="212"/>
      <c r="F383" s="212"/>
      <c r="G383" s="212"/>
      <c r="H383" s="212"/>
      <c r="I383" s="212"/>
      <c r="J383" s="212"/>
      <c r="K383" s="212"/>
      <c r="L383" s="20"/>
      <c r="M383" s="20"/>
      <c r="N383" s="21"/>
    </row>
    <row r="384" spans="3:14">
      <c r="C384" s="207"/>
      <c r="D384" s="214"/>
      <c r="E384" s="215"/>
      <c r="F384" s="215"/>
      <c r="G384" s="215"/>
      <c r="H384" s="215"/>
      <c r="I384" s="215"/>
      <c r="J384" s="215"/>
      <c r="K384" s="215"/>
      <c r="N384" s="22"/>
    </row>
    <row r="385" spans="3:14">
      <c r="C385" s="207"/>
      <c r="D385" s="214"/>
      <c r="E385" s="215"/>
      <c r="F385" s="215"/>
      <c r="G385" s="215"/>
      <c r="H385" s="215"/>
      <c r="I385" s="215"/>
      <c r="J385" s="215"/>
      <c r="K385" s="215"/>
      <c r="N385" s="22"/>
    </row>
    <row r="386" spans="3:14">
      <c r="C386" s="207"/>
      <c r="D386" s="289"/>
      <c r="E386" s="290"/>
      <c r="F386" s="290"/>
      <c r="G386" s="290"/>
      <c r="H386" s="290"/>
      <c r="I386" s="290"/>
      <c r="J386" s="290"/>
      <c r="K386" s="290"/>
      <c r="N386" s="22"/>
    </row>
    <row r="387" spans="3:14" ht="16.5">
      <c r="C387" s="223" t="s">
        <v>45</v>
      </c>
      <c r="D387" s="224"/>
      <c r="E387" s="7" t="s">
        <v>46</v>
      </c>
      <c r="F387" s="8"/>
      <c r="G387" s="8"/>
      <c r="H387" s="8"/>
      <c r="I387" s="8"/>
      <c r="J387" s="8"/>
      <c r="K387" s="8"/>
      <c r="L387" s="8"/>
      <c r="M387" s="8"/>
      <c r="N387" s="23"/>
    </row>
    <row r="388" spans="3:14" ht="16.5">
      <c r="C388" s="223" t="s">
        <v>48</v>
      </c>
      <c r="D388" s="224"/>
      <c r="E388" s="7" t="s">
        <v>49</v>
      </c>
      <c r="F388" s="8"/>
      <c r="G388" s="8"/>
      <c r="H388" s="8"/>
      <c r="I388" s="8"/>
      <c r="J388" s="8"/>
      <c r="K388" s="8"/>
      <c r="L388" s="8"/>
      <c r="M388" s="8"/>
      <c r="N388" s="23"/>
    </row>
    <row r="389" spans="3:14" ht="16.5">
      <c r="C389" s="225" t="s">
        <v>50</v>
      </c>
      <c r="D389" s="226"/>
      <c r="E389" s="7" t="s">
        <v>51</v>
      </c>
      <c r="F389" s="8"/>
      <c r="G389" s="8"/>
      <c r="H389" s="8"/>
      <c r="I389" s="8"/>
      <c r="J389" s="8"/>
      <c r="K389" s="8"/>
      <c r="L389" s="8"/>
      <c r="M389" s="8"/>
      <c r="N389" s="23"/>
    </row>
    <row r="390" spans="3:14" ht="16.5">
      <c r="C390" s="223" t="s">
        <v>52</v>
      </c>
      <c r="D390" s="224"/>
      <c r="E390" s="7" t="s">
        <v>53</v>
      </c>
      <c r="F390" s="8"/>
      <c r="G390" s="8"/>
      <c r="H390" s="8"/>
      <c r="I390" s="8"/>
      <c r="J390" s="8"/>
      <c r="K390" s="8"/>
      <c r="L390" s="8"/>
      <c r="M390" s="8"/>
      <c r="N390" s="23"/>
    </row>
    <row r="391" spans="3:14" ht="15.75">
      <c r="C391" s="227" t="s">
        <v>1120</v>
      </c>
      <c r="D391" s="228"/>
      <c r="E391" s="228"/>
      <c r="F391" s="228"/>
      <c r="G391" s="228"/>
      <c r="H391" s="228"/>
      <c r="I391" s="228"/>
      <c r="J391" s="228"/>
      <c r="K391" s="228"/>
      <c r="L391" s="228"/>
      <c r="M391" s="228"/>
      <c r="N391" s="229"/>
    </row>
    <row r="392" spans="3:14" ht="15.75">
      <c r="C392" s="11" t="s">
        <v>55</v>
      </c>
      <c r="E392" s="12"/>
      <c r="F392" s="12"/>
      <c r="G392" s="12"/>
      <c r="H392" s="12"/>
      <c r="I392" s="24" t="s">
        <v>56</v>
      </c>
      <c r="J392" s="25"/>
      <c r="K392" s="12"/>
      <c r="L392" s="12"/>
      <c r="M392" s="12"/>
      <c r="N392" s="26"/>
    </row>
    <row r="393" spans="3:14">
      <c r="C393" s="217"/>
      <c r="D393" s="218"/>
      <c r="E393" s="218"/>
      <c r="F393" s="218"/>
      <c r="G393" s="218"/>
      <c r="H393" s="218"/>
      <c r="I393" s="218"/>
      <c r="J393" s="218"/>
      <c r="K393" s="218"/>
      <c r="L393" s="218"/>
      <c r="M393" s="218"/>
      <c r="N393" s="219"/>
    </row>
    <row r="394" spans="3:14" ht="15.75">
      <c r="C394" s="15" t="s">
        <v>103</v>
      </c>
      <c r="D394" s="355"/>
      <c r="E394" s="356"/>
      <c r="F394" s="356"/>
      <c r="G394" s="356"/>
      <c r="H394" s="357"/>
      <c r="I394" s="368" t="s">
        <v>542</v>
      </c>
      <c r="J394" s="369"/>
      <c r="K394" s="369"/>
      <c r="L394" s="369"/>
      <c r="M394" s="369"/>
      <c r="N394" s="370"/>
    </row>
    <row r="395" spans="3:14">
      <c r="C395" s="329" t="s">
        <v>59</v>
      </c>
      <c r="D395" s="209" t="s">
        <v>60</v>
      </c>
      <c r="E395" s="209" t="s">
        <v>659</v>
      </c>
      <c r="F395" s="209" t="s">
        <v>62</v>
      </c>
      <c r="G395" s="209" t="s">
        <v>63</v>
      </c>
      <c r="H395" s="209" t="s">
        <v>64</v>
      </c>
      <c r="I395" s="209" t="s">
        <v>65</v>
      </c>
      <c r="J395" s="342" t="s">
        <v>66</v>
      </c>
      <c r="K395" s="343"/>
      <c r="L395" s="344"/>
      <c r="M395" s="209" t="s">
        <v>30</v>
      </c>
      <c r="N395" s="328" t="s">
        <v>67</v>
      </c>
    </row>
    <row r="396" spans="3:14" ht="60">
      <c r="C396" s="359"/>
      <c r="D396" s="292"/>
      <c r="E396" s="292"/>
      <c r="F396" s="292"/>
      <c r="G396" s="292"/>
      <c r="H396" s="292"/>
      <c r="I396" s="292"/>
      <c r="J396" s="17" t="s">
        <v>68</v>
      </c>
      <c r="K396" s="28" t="s">
        <v>999</v>
      </c>
      <c r="L396" s="17" t="s">
        <v>70</v>
      </c>
      <c r="M396" s="292"/>
      <c r="N396" s="360"/>
    </row>
    <row r="397" spans="3:14">
      <c r="C397" s="18">
        <v>1</v>
      </c>
      <c r="D397" s="18" t="s">
        <v>71</v>
      </c>
      <c r="E397" s="158">
        <v>63</v>
      </c>
      <c r="F397" s="158" t="s">
        <v>190</v>
      </c>
      <c r="G397" s="158" t="s">
        <v>83</v>
      </c>
      <c r="H397" s="158">
        <v>343.4</v>
      </c>
      <c r="I397" s="29" t="s">
        <v>1170</v>
      </c>
      <c r="J397" s="18">
        <v>1.4</v>
      </c>
      <c r="K397" s="30">
        <v>3.2</v>
      </c>
      <c r="L397" s="18">
        <v>4.5999999999999996</v>
      </c>
      <c r="M397" s="16"/>
      <c r="N397" s="16"/>
    </row>
    <row r="398" spans="3:14">
      <c r="C398" s="18">
        <f t="shared" ref="C398:C438" si="7">1+C397</f>
        <v>2</v>
      </c>
      <c r="D398" s="18" t="s">
        <v>71</v>
      </c>
      <c r="E398" s="158">
        <v>63</v>
      </c>
      <c r="F398" s="158" t="s">
        <v>699</v>
      </c>
      <c r="G398" s="158" t="s">
        <v>769</v>
      </c>
      <c r="H398" s="158">
        <v>392.1</v>
      </c>
      <c r="I398" s="29" t="s">
        <v>1170</v>
      </c>
      <c r="J398" s="18">
        <v>1.4</v>
      </c>
      <c r="K398" s="30">
        <v>3.2</v>
      </c>
      <c r="L398" s="18">
        <v>4.5999999999999996</v>
      </c>
      <c r="M398" s="16"/>
      <c r="N398" s="16"/>
    </row>
    <row r="399" spans="3:14">
      <c r="C399" s="18">
        <f t="shared" si="7"/>
        <v>3</v>
      </c>
      <c r="D399" s="18" t="s">
        <v>71</v>
      </c>
      <c r="E399" s="158">
        <v>63</v>
      </c>
      <c r="F399" s="158" t="s">
        <v>793</v>
      </c>
      <c r="G399" s="158" t="s">
        <v>772</v>
      </c>
      <c r="H399" s="158">
        <v>109</v>
      </c>
      <c r="I399" s="29" t="s">
        <v>1170</v>
      </c>
      <c r="J399" s="18">
        <v>1.4</v>
      </c>
      <c r="K399" s="30">
        <v>3.2</v>
      </c>
      <c r="L399" s="18">
        <v>4.5999999999999996</v>
      </c>
      <c r="M399" s="16"/>
      <c r="N399" s="16"/>
    </row>
    <row r="400" spans="3:14">
      <c r="C400" s="18">
        <f t="shared" si="7"/>
        <v>4</v>
      </c>
      <c r="D400" s="18" t="s">
        <v>71</v>
      </c>
      <c r="E400" s="158">
        <v>63</v>
      </c>
      <c r="F400" s="158" t="s">
        <v>772</v>
      </c>
      <c r="G400" s="158" t="s">
        <v>206</v>
      </c>
      <c r="H400" s="158">
        <v>13.2</v>
      </c>
      <c r="I400" s="29" t="s">
        <v>1170</v>
      </c>
      <c r="J400" s="18">
        <v>1.4</v>
      </c>
      <c r="K400" s="30">
        <v>3.2</v>
      </c>
      <c r="L400" s="18">
        <v>4.5999999999999996</v>
      </c>
      <c r="M400" s="16"/>
      <c r="N400" s="16"/>
    </row>
    <row r="401" spans="3:14">
      <c r="C401" s="18">
        <f t="shared" si="7"/>
        <v>5</v>
      </c>
      <c r="D401" s="18" t="s">
        <v>71</v>
      </c>
      <c r="E401" s="158">
        <v>63</v>
      </c>
      <c r="F401" s="158" t="s">
        <v>772</v>
      </c>
      <c r="G401" s="158" t="s">
        <v>385</v>
      </c>
      <c r="H401" s="158">
        <v>6.5</v>
      </c>
      <c r="I401" s="29" t="s">
        <v>1170</v>
      </c>
      <c r="J401" s="18">
        <v>1.4</v>
      </c>
      <c r="K401" s="30">
        <v>3.2</v>
      </c>
      <c r="L401" s="18">
        <v>4.5999999999999996</v>
      </c>
      <c r="M401" s="16"/>
      <c r="N401" s="16"/>
    </row>
    <row r="402" spans="3:14">
      <c r="C402" s="18">
        <f t="shared" si="7"/>
        <v>6</v>
      </c>
      <c r="D402" s="18" t="s">
        <v>71</v>
      </c>
      <c r="E402" s="158">
        <v>63</v>
      </c>
      <c r="F402" s="158" t="s">
        <v>772</v>
      </c>
      <c r="G402" s="158" t="s">
        <v>385</v>
      </c>
      <c r="H402" s="158">
        <v>25.6</v>
      </c>
      <c r="I402" s="29" t="s">
        <v>1170</v>
      </c>
      <c r="J402" s="18">
        <v>1.4</v>
      </c>
      <c r="K402" s="30">
        <v>3.2</v>
      </c>
      <c r="L402" s="18">
        <v>4.5999999999999996</v>
      </c>
      <c r="M402" s="16"/>
      <c r="N402" s="16"/>
    </row>
    <row r="403" spans="3:14">
      <c r="C403" s="18">
        <f t="shared" si="7"/>
        <v>7</v>
      </c>
      <c r="D403" s="18" t="s">
        <v>71</v>
      </c>
      <c r="E403" s="158">
        <v>63</v>
      </c>
      <c r="F403" s="158" t="s">
        <v>765</v>
      </c>
      <c r="G403" s="158" t="s">
        <v>744</v>
      </c>
      <c r="H403" s="158">
        <v>6.1</v>
      </c>
      <c r="I403" s="29" t="s">
        <v>1170</v>
      </c>
      <c r="J403" s="18">
        <v>1.4</v>
      </c>
      <c r="K403" s="30">
        <v>3.2</v>
      </c>
      <c r="L403" s="18">
        <v>4.5999999999999996</v>
      </c>
      <c r="M403" s="16"/>
      <c r="N403" s="16"/>
    </row>
    <row r="404" spans="3:14">
      <c r="C404" s="18">
        <f t="shared" si="7"/>
        <v>8</v>
      </c>
      <c r="D404" s="18" t="s">
        <v>71</v>
      </c>
      <c r="E404" s="158">
        <v>63</v>
      </c>
      <c r="F404" s="158" t="s">
        <v>765</v>
      </c>
      <c r="G404" s="158" t="s">
        <v>744</v>
      </c>
      <c r="H404" s="158">
        <v>112.3</v>
      </c>
      <c r="I404" s="29" t="s">
        <v>1170</v>
      </c>
      <c r="J404" s="18">
        <v>1.4</v>
      </c>
      <c r="K404" s="30">
        <v>3.2</v>
      </c>
      <c r="L404" s="18">
        <v>4.5999999999999996</v>
      </c>
      <c r="M404" s="16"/>
      <c r="N404" s="16"/>
    </row>
    <row r="405" spans="3:14">
      <c r="C405" s="18">
        <f t="shared" si="7"/>
        <v>9</v>
      </c>
      <c r="D405" s="18" t="s">
        <v>71</v>
      </c>
      <c r="E405" s="158">
        <v>63</v>
      </c>
      <c r="F405" s="158" t="s">
        <v>744</v>
      </c>
      <c r="G405" s="158" t="s">
        <v>758</v>
      </c>
      <c r="H405" s="158">
        <v>6.1</v>
      </c>
      <c r="I405" s="29" t="s">
        <v>1170</v>
      </c>
      <c r="J405" s="18">
        <v>1.4</v>
      </c>
      <c r="K405" s="30">
        <v>3.2</v>
      </c>
      <c r="L405" s="18">
        <v>4.5999999999999996</v>
      </c>
      <c r="M405" s="16"/>
      <c r="N405" s="16"/>
    </row>
    <row r="406" spans="3:14">
      <c r="C406" s="18">
        <f t="shared" si="7"/>
        <v>10</v>
      </c>
      <c r="D406" s="18" t="s">
        <v>71</v>
      </c>
      <c r="E406" s="158">
        <v>63</v>
      </c>
      <c r="F406" s="158" t="s">
        <v>758</v>
      </c>
      <c r="G406" s="158" t="s">
        <v>868</v>
      </c>
      <c r="H406" s="158">
        <v>124.2</v>
      </c>
      <c r="I406" s="29" t="s">
        <v>1170</v>
      </c>
      <c r="J406" s="18">
        <v>1.4</v>
      </c>
      <c r="K406" s="30">
        <v>3.2</v>
      </c>
      <c r="L406" s="18">
        <v>4.5999999999999996</v>
      </c>
      <c r="M406" s="16"/>
      <c r="N406" s="16"/>
    </row>
    <row r="407" spans="3:14">
      <c r="C407" s="18">
        <f t="shared" si="7"/>
        <v>11</v>
      </c>
      <c r="D407" s="18" t="s">
        <v>71</v>
      </c>
      <c r="E407" s="158">
        <v>63</v>
      </c>
      <c r="F407" s="158" t="s">
        <v>758</v>
      </c>
      <c r="G407" s="158" t="s">
        <v>1171</v>
      </c>
      <c r="H407" s="158">
        <v>22.3</v>
      </c>
      <c r="I407" s="29" t="s">
        <v>1170</v>
      </c>
      <c r="J407" s="18">
        <v>1.4</v>
      </c>
      <c r="K407" s="30">
        <v>3.2</v>
      </c>
      <c r="L407" s="18">
        <v>4.5999999999999996</v>
      </c>
      <c r="M407" s="16"/>
      <c r="N407" s="16"/>
    </row>
    <row r="408" spans="3:14">
      <c r="C408" s="18">
        <f t="shared" si="7"/>
        <v>12</v>
      </c>
      <c r="D408" s="18" t="s">
        <v>71</v>
      </c>
      <c r="E408" s="158">
        <v>63</v>
      </c>
      <c r="F408" s="158" t="s">
        <v>1171</v>
      </c>
      <c r="G408" s="158" t="s">
        <v>1172</v>
      </c>
      <c r="H408" s="158">
        <v>50.1</v>
      </c>
      <c r="I408" s="29" t="s">
        <v>1170</v>
      </c>
      <c r="J408" s="18">
        <v>1.4</v>
      </c>
      <c r="K408" s="30">
        <v>3.2</v>
      </c>
      <c r="L408" s="18">
        <v>4.5999999999999996</v>
      </c>
      <c r="M408" s="16"/>
      <c r="N408" s="16"/>
    </row>
    <row r="409" spans="3:14">
      <c r="C409" s="18">
        <f t="shared" si="7"/>
        <v>13</v>
      </c>
      <c r="D409" s="18" t="s">
        <v>71</v>
      </c>
      <c r="E409" s="158">
        <v>63</v>
      </c>
      <c r="F409" s="158" t="s">
        <v>1171</v>
      </c>
      <c r="G409" s="158" t="s">
        <v>777</v>
      </c>
      <c r="H409" s="158">
        <v>76.099999999999994</v>
      </c>
      <c r="I409" s="29" t="s">
        <v>1170</v>
      </c>
      <c r="J409" s="18">
        <v>1.4</v>
      </c>
      <c r="K409" s="30">
        <v>3.2</v>
      </c>
      <c r="L409" s="18">
        <v>4.5999999999999996</v>
      </c>
      <c r="M409" s="16"/>
      <c r="N409" s="16"/>
    </row>
    <row r="410" spans="3:14">
      <c r="C410" s="18">
        <f t="shared" si="7"/>
        <v>14</v>
      </c>
      <c r="D410" s="18" t="s">
        <v>71</v>
      </c>
      <c r="E410" s="158">
        <v>63</v>
      </c>
      <c r="F410" s="158" t="s">
        <v>777</v>
      </c>
      <c r="G410" s="158" t="s">
        <v>716</v>
      </c>
      <c r="H410" s="55">
        <v>2.4</v>
      </c>
      <c r="I410" s="29" t="s">
        <v>1170</v>
      </c>
      <c r="J410" s="18">
        <v>1.4</v>
      </c>
      <c r="K410" s="30">
        <v>3.2</v>
      </c>
      <c r="L410" s="18">
        <v>4.5999999999999996</v>
      </c>
      <c r="M410" s="16"/>
      <c r="N410" s="16"/>
    </row>
    <row r="411" spans="3:14">
      <c r="C411" s="18">
        <f t="shared" si="7"/>
        <v>15</v>
      </c>
      <c r="D411" s="18" t="s">
        <v>71</v>
      </c>
      <c r="E411" s="158">
        <v>63</v>
      </c>
      <c r="F411" s="158" t="s">
        <v>777</v>
      </c>
      <c r="G411" s="158" t="s">
        <v>716</v>
      </c>
      <c r="H411" s="158">
        <v>23.5</v>
      </c>
      <c r="I411" s="29" t="s">
        <v>1170</v>
      </c>
      <c r="J411" s="18">
        <v>1.4</v>
      </c>
      <c r="K411" s="30">
        <v>3.2</v>
      </c>
      <c r="L411" s="18">
        <v>4.5999999999999996</v>
      </c>
      <c r="M411" s="16"/>
      <c r="N411" s="16"/>
    </row>
    <row r="412" spans="3:14">
      <c r="C412" s="18">
        <f t="shared" si="7"/>
        <v>16</v>
      </c>
      <c r="D412" s="18" t="s">
        <v>71</v>
      </c>
      <c r="E412" s="158">
        <v>63</v>
      </c>
      <c r="F412" s="158" t="s">
        <v>777</v>
      </c>
      <c r="G412" s="158" t="s">
        <v>994</v>
      </c>
      <c r="H412" s="158">
        <v>21.9</v>
      </c>
      <c r="I412" s="29" t="s">
        <v>1170</v>
      </c>
      <c r="J412" s="18">
        <v>1.4</v>
      </c>
      <c r="K412" s="30">
        <v>3.2</v>
      </c>
      <c r="L412" s="18">
        <v>4.5999999999999996</v>
      </c>
      <c r="M412" s="16"/>
      <c r="N412" s="16"/>
    </row>
    <row r="413" spans="3:14">
      <c r="C413" s="18">
        <f t="shared" si="7"/>
        <v>17</v>
      </c>
      <c r="D413" s="18" t="s">
        <v>71</v>
      </c>
      <c r="E413" s="158">
        <v>63</v>
      </c>
      <c r="F413" s="158" t="s">
        <v>777</v>
      </c>
      <c r="G413" s="158" t="s">
        <v>994</v>
      </c>
      <c r="H413" s="158">
        <v>18.5</v>
      </c>
      <c r="I413" s="29" t="s">
        <v>1170</v>
      </c>
      <c r="J413" s="18">
        <v>1.4</v>
      </c>
      <c r="K413" s="30">
        <v>3.2</v>
      </c>
      <c r="L413" s="18">
        <v>4.5999999999999996</v>
      </c>
      <c r="M413" s="16"/>
      <c r="N413" s="16"/>
    </row>
    <row r="414" spans="3:14">
      <c r="C414" s="18">
        <f t="shared" si="7"/>
        <v>18</v>
      </c>
      <c r="D414" s="18" t="s">
        <v>71</v>
      </c>
      <c r="E414" s="158">
        <v>63</v>
      </c>
      <c r="F414" s="158" t="s">
        <v>777</v>
      </c>
      <c r="G414" s="158" t="s">
        <v>994</v>
      </c>
      <c r="H414" s="158">
        <v>8.6</v>
      </c>
      <c r="I414" s="29" t="s">
        <v>1170</v>
      </c>
      <c r="J414" s="18">
        <v>1.4</v>
      </c>
      <c r="K414" s="30">
        <v>3.2</v>
      </c>
      <c r="L414" s="18">
        <v>4.5999999999999996</v>
      </c>
      <c r="M414" s="16"/>
      <c r="N414" s="16"/>
    </row>
    <row r="415" spans="3:14">
      <c r="C415" s="18">
        <f t="shared" si="7"/>
        <v>19</v>
      </c>
      <c r="D415" s="18" t="s">
        <v>71</v>
      </c>
      <c r="E415" s="158">
        <v>63</v>
      </c>
      <c r="F415" s="158" t="s">
        <v>758</v>
      </c>
      <c r="G415" s="158" t="s">
        <v>782</v>
      </c>
      <c r="H415" s="158">
        <v>98.1</v>
      </c>
      <c r="I415" s="29" t="s">
        <v>1170</v>
      </c>
      <c r="J415" s="18">
        <v>1.4</v>
      </c>
      <c r="K415" s="30">
        <v>3.2</v>
      </c>
      <c r="L415" s="18">
        <v>4.5999999999999996</v>
      </c>
      <c r="M415" s="16"/>
      <c r="N415" s="16"/>
    </row>
    <row r="416" spans="3:14">
      <c r="C416" s="18">
        <f t="shared" si="7"/>
        <v>20</v>
      </c>
      <c r="D416" s="18" t="s">
        <v>71</v>
      </c>
      <c r="E416" s="158">
        <v>63</v>
      </c>
      <c r="F416" s="158" t="s">
        <v>782</v>
      </c>
      <c r="G416" s="158" t="s">
        <v>1173</v>
      </c>
      <c r="H416" s="158">
        <v>30.1</v>
      </c>
      <c r="I416" s="29" t="s">
        <v>1170</v>
      </c>
      <c r="J416" s="18">
        <v>1.4</v>
      </c>
      <c r="K416" s="30">
        <v>3.2</v>
      </c>
      <c r="L416" s="18">
        <v>4.5999999999999996</v>
      </c>
      <c r="M416" s="16"/>
      <c r="N416" s="16"/>
    </row>
    <row r="417" spans="3:14">
      <c r="C417" s="18">
        <f t="shared" si="7"/>
        <v>21</v>
      </c>
      <c r="D417" s="18" t="s">
        <v>71</v>
      </c>
      <c r="E417" s="158">
        <v>63</v>
      </c>
      <c r="F417" s="158" t="s">
        <v>782</v>
      </c>
      <c r="G417" s="158" t="s">
        <v>808</v>
      </c>
      <c r="H417" s="158">
        <v>12.5</v>
      </c>
      <c r="I417" s="29" t="s">
        <v>1170</v>
      </c>
      <c r="J417" s="18">
        <v>1.4</v>
      </c>
      <c r="K417" s="30">
        <v>3.2</v>
      </c>
      <c r="L417" s="18">
        <v>4.5999999999999996</v>
      </c>
      <c r="M417" s="16"/>
      <c r="N417" s="16"/>
    </row>
    <row r="418" spans="3:14">
      <c r="C418" s="18">
        <f t="shared" si="7"/>
        <v>22</v>
      </c>
      <c r="D418" s="18" t="s">
        <v>71</v>
      </c>
      <c r="E418" s="158">
        <v>63</v>
      </c>
      <c r="F418" s="158" t="s">
        <v>808</v>
      </c>
      <c r="G418" s="158" t="s">
        <v>694</v>
      </c>
      <c r="H418" s="158">
        <v>62.5</v>
      </c>
      <c r="I418" s="29" t="s">
        <v>1170</v>
      </c>
      <c r="J418" s="18">
        <v>1.4</v>
      </c>
      <c r="K418" s="30">
        <v>3.2</v>
      </c>
      <c r="L418" s="18">
        <v>4.5999999999999996</v>
      </c>
      <c r="M418" s="16"/>
      <c r="N418" s="16"/>
    </row>
    <row r="419" spans="3:14">
      <c r="C419" s="18">
        <f t="shared" si="7"/>
        <v>23</v>
      </c>
      <c r="D419" s="18" t="s">
        <v>71</v>
      </c>
      <c r="E419" s="158">
        <v>63</v>
      </c>
      <c r="F419" s="158" t="s">
        <v>808</v>
      </c>
      <c r="G419" s="158" t="s">
        <v>1174</v>
      </c>
      <c r="H419" s="158">
        <v>70.099999999999994</v>
      </c>
      <c r="I419" s="29" t="s">
        <v>1170</v>
      </c>
      <c r="J419" s="18">
        <v>1.4</v>
      </c>
      <c r="K419" s="30">
        <v>3.2</v>
      </c>
      <c r="L419" s="18">
        <v>4.5999999999999996</v>
      </c>
      <c r="M419" s="16"/>
      <c r="N419" s="16"/>
    </row>
    <row r="420" spans="3:14">
      <c r="C420" s="18">
        <f t="shared" si="7"/>
        <v>24</v>
      </c>
      <c r="D420" s="18" t="s">
        <v>71</v>
      </c>
      <c r="E420" s="158">
        <v>63</v>
      </c>
      <c r="F420" s="158" t="s">
        <v>1174</v>
      </c>
      <c r="G420" s="158" t="s">
        <v>752</v>
      </c>
      <c r="H420" s="158">
        <v>28.7</v>
      </c>
      <c r="I420" s="29" t="s">
        <v>1170</v>
      </c>
      <c r="J420" s="18">
        <v>1.4</v>
      </c>
      <c r="K420" s="30">
        <v>3.2</v>
      </c>
      <c r="L420" s="18">
        <v>4.5999999999999996</v>
      </c>
      <c r="M420" s="16"/>
      <c r="N420" s="16"/>
    </row>
    <row r="421" spans="3:14">
      <c r="C421" s="18">
        <f t="shared" si="7"/>
        <v>25</v>
      </c>
      <c r="D421" s="18" t="s">
        <v>71</v>
      </c>
      <c r="E421" s="158">
        <v>63</v>
      </c>
      <c r="F421" s="158" t="s">
        <v>1174</v>
      </c>
      <c r="G421" s="158" t="s">
        <v>757</v>
      </c>
      <c r="H421" s="158">
        <v>97.1</v>
      </c>
      <c r="I421" s="29" t="s">
        <v>1170</v>
      </c>
      <c r="J421" s="18">
        <v>1.4</v>
      </c>
      <c r="K421" s="30">
        <v>3.2</v>
      </c>
      <c r="L421" s="18">
        <v>4.5999999999999996</v>
      </c>
      <c r="M421" s="16"/>
      <c r="N421" s="16"/>
    </row>
    <row r="422" spans="3:14">
      <c r="C422" s="18">
        <f t="shared" si="7"/>
        <v>26</v>
      </c>
      <c r="D422" s="18" t="s">
        <v>71</v>
      </c>
      <c r="E422" s="158">
        <v>63</v>
      </c>
      <c r="F422" s="158" t="s">
        <v>1174</v>
      </c>
      <c r="G422" s="158" t="s">
        <v>757</v>
      </c>
      <c r="H422" s="158">
        <v>40.799999999999997</v>
      </c>
      <c r="I422" s="29" t="s">
        <v>1170</v>
      </c>
      <c r="J422" s="18">
        <v>1.4</v>
      </c>
      <c r="K422" s="30">
        <v>3.2</v>
      </c>
      <c r="L422" s="18">
        <v>4.5999999999999996</v>
      </c>
      <c r="M422" s="16"/>
      <c r="N422" s="16"/>
    </row>
    <row r="423" spans="3:14">
      <c r="C423" s="18">
        <f t="shared" si="7"/>
        <v>27</v>
      </c>
      <c r="D423" s="18" t="s">
        <v>71</v>
      </c>
      <c r="E423" s="158">
        <v>63</v>
      </c>
      <c r="F423" s="158" t="s">
        <v>1174</v>
      </c>
      <c r="G423" s="158" t="s">
        <v>757</v>
      </c>
      <c r="H423" s="158">
        <v>3.2</v>
      </c>
      <c r="I423" s="29" t="s">
        <v>1170</v>
      </c>
      <c r="J423" s="18">
        <v>1.4</v>
      </c>
      <c r="K423" s="30">
        <v>3.2</v>
      </c>
      <c r="L423" s="18">
        <v>4.5999999999999996</v>
      </c>
      <c r="M423" s="16"/>
      <c r="N423" s="16"/>
    </row>
    <row r="424" spans="3:14">
      <c r="C424" s="18">
        <f t="shared" si="7"/>
        <v>28</v>
      </c>
      <c r="D424" s="18" t="s">
        <v>71</v>
      </c>
      <c r="E424" s="158">
        <v>63</v>
      </c>
      <c r="F424" s="158" t="s">
        <v>1174</v>
      </c>
      <c r="G424" s="158" t="s">
        <v>757</v>
      </c>
      <c r="H424" s="158">
        <v>82.2</v>
      </c>
      <c r="I424" s="29" t="s">
        <v>1170</v>
      </c>
      <c r="J424" s="18">
        <v>1.4</v>
      </c>
      <c r="K424" s="30">
        <v>3.2</v>
      </c>
      <c r="L424" s="18">
        <v>4.5999999999999996</v>
      </c>
      <c r="M424" s="16"/>
      <c r="N424" s="16"/>
    </row>
    <row r="425" spans="3:14">
      <c r="C425" s="18">
        <f t="shared" si="7"/>
        <v>29</v>
      </c>
      <c r="D425" s="18" t="s">
        <v>71</v>
      </c>
      <c r="E425" s="158">
        <v>63</v>
      </c>
      <c r="F425" s="158" t="s">
        <v>1174</v>
      </c>
      <c r="G425" s="158" t="s">
        <v>757</v>
      </c>
      <c r="H425" s="158">
        <v>92.1</v>
      </c>
      <c r="I425" s="29" t="s">
        <v>1170</v>
      </c>
      <c r="J425" s="18">
        <v>1.4</v>
      </c>
      <c r="K425" s="30">
        <v>3.2</v>
      </c>
      <c r="L425" s="18">
        <v>4.5999999999999996</v>
      </c>
      <c r="M425" s="16"/>
      <c r="N425" s="16"/>
    </row>
    <row r="426" spans="3:14">
      <c r="C426" s="18">
        <f t="shared" si="7"/>
        <v>30</v>
      </c>
      <c r="D426" s="18" t="s">
        <v>71</v>
      </c>
      <c r="E426" s="158">
        <v>63</v>
      </c>
      <c r="F426" s="158" t="s">
        <v>757</v>
      </c>
      <c r="G426" s="158" t="s">
        <v>1175</v>
      </c>
      <c r="H426" s="158">
        <v>90.8</v>
      </c>
      <c r="I426" s="29" t="s">
        <v>1170</v>
      </c>
      <c r="J426" s="18">
        <v>1.4</v>
      </c>
      <c r="K426" s="30">
        <v>3.2</v>
      </c>
      <c r="L426" s="18">
        <v>4.5999999999999996</v>
      </c>
      <c r="M426" s="16"/>
      <c r="N426" s="16"/>
    </row>
    <row r="427" spans="3:14">
      <c r="C427" s="18">
        <f t="shared" si="7"/>
        <v>31</v>
      </c>
      <c r="D427" s="18" t="s">
        <v>71</v>
      </c>
      <c r="E427" s="158">
        <v>63</v>
      </c>
      <c r="F427" s="158" t="s">
        <v>757</v>
      </c>
      <c r="G427" s="158" t="s">
        <v>228</v>
      </c>
      <c r="H427" s="158">
        <v>139.30000000000001</v>
      </c>
      <c r="I427" s="29" t="s">
        <v>1170</v>
      </c>
      <c r="J427" s="18">
        <v>1.4</v>
      </c>
      <c r="K427" s="30">
        <v>3.2</v>
      </c>
      <c r="L427" s="18">
        <v>4.5999999999999996</v>
      </c>
      <c r="M427" s="16"/>
      <c r="N427" s="16"/>
    </row>
    <row r="428" spans="3:14">
      <c r="C428" s="18">
        <f t="shared" si="7"/>
        <v>32</v>
      </c>
      <c r="D428" s="18" t="s">
        <v>71</v>
      </c>
      <c r="E428" s="158">
        <v>63</v>
      </c>
      <c r="F428" s="158" t="s">
        <v>228</v>
      </c>
      <c r="G428" s="158" t="s">
        <v>73</v>
      </c>
      <c r="H428" s="158">
        <v>112.2</v>
      </c>
      <c r="I428" s="29" t="s">
        <v>1170</v>
      </c>
      <c r="J428" s="18">
        <v>1.4</v>
      </c>
      <c r="K428" s="30">
        <v>3.2</v>
      </c>
      <c r="L428" s="18">
        <v>4.5999999999999996</v>
      </c>
      <c r="M428" s="16"/>
      <c r="N428" s="16"/>
    </row>
    <row r="429" spans="3:14">
      <c r="C429" s="18">
        <f t="shared" si="7"/>
        <v>33</v>
      </c>
      <c r="D429" s="18" t="s">
        <v>71</v>
      </c>
      <c r="E429" s="158">
        <v>63</v>
      </c>
      <c r="F429" s="158" t="s">
        <v>228</v>
      </c>
      <c r="G429" s="158" t="s">
        <v>720</v>
      </c>
      <c r="H429" s="158">
        <v>246.1</v>
      </c>
      <c r="I429" s="29" t="s">
        <v>1170</v>
      </c>
      <c r="J429" s="18">
        <v>1.4</v>
      </c>
      <c r="K429" s="30">
        <v>3.2</v>
      </c>
      <c r="L429" s="18">
        <v>4.5999999999999996</v>
      </c>
      <c r="M429" s="16"/>
      <c r="N429" s="16"/>
    </row>
    <row r="430" spans="3:14">
      <c r="C430" s="18">
        <f t="shared" si="7"/>
        <v>34</v>
      </c>
      <c r="D430" s="18" t="s">
        <v>71</v>
      </c>
      <c r="E430" s="158">
        <v>63</v>
      </c>
      <c r="F430" s="158" t="s">
        <v>744</v>
      </c>
      <c r="G430" s="158" t="s">
        <v>663</v>
      </c>
      <c r="H430" s="158">
        <v>350.3</v>
      </c>
      <c r="I430" s="29" t="s">
        <v>1170</v>
      </c>
      <c r="J430" s="18">
        <v>1.4</v>
      </c>
      <c r="K430" s="30">
        <v>3.2</v>
      </c>
      <c r="L430" s="18">
        <v>4.5999999999999996</v>
      </c>
      <c r="M430" s="16"/>
      <c r="N430" s="16"/>
    </row>
    <row r="431" spans="3:14">
      <c r="C431" s="18">
        <f t="shared" si="7"/>
        <v>35</v>
      </c>
      <c r="D431" s="18" t="s">
        <v>71</v>
      </c>
      <c r="E431" s="158">
        <v>63</v>
      </c>
      <c r="F431" s="158" t="s">
        <v>1176</v>
      </c>
      <c r="G431" s="158" t="s">
        <v>1177</v>
      </c>
      <c r="H431" s="158">
        <v>55.5</v>
      </c>
      <c r="I431" s="29" t="s">
        <v>1170</v>
      </c>
      <c r="J431" s="18">
        <v>1.4</v>
      </c>
      <c r="K431" s="30">
        <v>3.2</v>
      </c>
      <c r="L431" s="18">
        <v>4.5999999999999996</v>
      </c>
      <c r="M431" s="16"/>
      <c r="N431" s="16"/>
    </row>
    <row r="432" spans="3:14">
      <c r="C432" s="18">
        <f t="shared" si="7"/>
        <v>36</v>
      </c>
      <c r="D432" s="18" t="s">
        <v>71</v>
      </c>
      <c r="E432" s="158">
        <v>63</v>
      </c>
      <c r="F432" s="158" t="s">
        <v>1177</v>
      </c>
      <c r="G432" s="158" t="s">
        <v>1178</v>
      </c>
      <c r="H432" s="158">
        <v>37.4</v>
      </c>
      <c r="I432" s="29" t="s">
        <v>1170</v>
      </c>
      <c r="J432" s="18">
        <v>1.4</v>
      </c>
      <c r="K432" s="30">
        <v>3.2</v>
      </c>
      <c r="L432" s="18">
        <v>4.5999999999999996</v>
      </c>
      <c r="M432" s="16"/>
      <c r="N432" s="16"/>
    </row>
    <row r="433" spans="3:14">
      <c r="C433" s="18">
        <f t="shared" si="7"/>
        <v>37</v>
      </c>
      <c r="D433" s="18" t="s">
        <v>71</v>
      </c>
      <c r="E433" s="158">
        <v>63</v>
      </c>
      <c r="F433" s="158" t="s">
        <v>1015</v>
      </c>
      <c r="G433" s="158" t="s">
        <v>1016</v>
      </c>
      <c r="H433" s="158">
        <v>56.4</v>
      </c>
      <c r="I433" s="29" t="s">
        <v>1170</v>
      </c>
      <c r="J433" s="18">
        <v>1.4</v>
      </c>
      <c r="K433" s="30">
        <v>3.2</v>
      </c>
      <c r="L433" s="18">
        <v>4.5999999999999996</v>
      </c>
      <c r="M433" s="16"/>
      <c r="N433" s="16"/>
    </row>
    <row r="434" spans="3:14">
      <c r="C434" s="18">
        <f t="shared" si="7"/>
        <v>38</v>
      </c>
      <c r="D434" s="18" t="s">
        <v>71</v>
      </c>
      <c r="E434" s="158">
        <v>63</v>
      </c>
      <c r="F434" s="158" t="s">
        <v>1179</v>
      </c>
      <c r="G434" s="158" t="s">
        <v>1180</v>
      </c>
      <c r="H434" s="158">
        <v>21.8</v>
      </c>
      <c r="I434" s="29" t="s">
        <v>1170</v>
      </c>
      <c r="J434" s="18">
        <v>1.4</v>
      </c>
      <c r="K434" s="30">
        <v>3.2</v>
      </c>
      <c r="L434" s="18">
        <v>4.5999999999999996</v>
      </c>
      <c r="M434" s="16"/>
      <c r="N434" s="16"/>
    </row>
    <row r="435" spans="3:14">
      <c r="C435" s="18">
        <f t="shared" si="7"/>
        <v>39</v>
      </c>
      <c r="D435" s="18" t="s">
        <v>71</v>
      </c>
      <c r="E435" s="158">
        <v>63</v>
      </c>
      <c r="F435" s="158" t="s">
        <v>1180</v>
      </c>
      <c r="G435" s="158" t="s">
        <v>1181</v>
      </c>
      <c r="H435" s="158">
        <v>8.6999999999999993</v>
      </c>
      <c r="I435" s="29" t="s">
        <v>1170</v>
      </c>
      <c r="J435" s="18">
        <v>1.4</v>
      </c>
      <c r="K435" s="30">
        <v>3.2</v>
      </c>
      <c r="L435" s="18">
        <v>4.5999999999999996</v>
      </c>
      <c r="M435" s="16"/>
      <c r="N435" s="16"/>
    </row>
    <row r="436" spans="3:14">
      <c r="C436" s="18">
        <f t="shared" si="7"/>
        <v>40</v>
      </c>
      <c r="D436" s="18" t="s">
        <v>71</v>
      </c>
      <c r="E436" s="158">
        <v>63</v>
      </c>
      <c r="F436" s="158" t="s">
        <v>244</v>
      </c>
      <c r="G436" s="158" t="s">
        <v>194</v>
      </c>
      <c r="H436" s="158">
        <v>12.4</v>
      </c>
      <c r="I436" s="29" t="s">
        <v>1170</v>
      </c>
      <c r="J436" s="18">
        <v>1.4</v>
      </c>
      <c r="K436" s="30">
        <v>3.2</v>
      </c>
      <c r="L436" s="18">
        <v>4.5999999999999996</v>
      </c>
      <c r="M436" s="16"/>
      <c r="N436" s="16"/>
    </row>
    <row r="437" spans="3:14">
      <c r="C437" s="18">
        <f t="shared" si="7"/>
        <v>41</v>
      </c>
      <c r="D437" s="18" t="s">
        <v>71</v>
      </c>
      <c r="E437" s="158">
        <v>63</v>
      </c>
      <c r="F437" s="158" t="s">
        <v>194</v>
      </c>
      <c r="G437" s="158" t="s">
        <v>141</v>
      </c>
      <c r="H437" s="158">
        <v>19.899999999999999</v>
      </c>
      <c r="I437" s="158" t="s">
        <v>1170</v>
      </c>
      <c r="J437" s="18">
        <v>1.4</v>
      </c>
      <c r="K437" s="30">
        <v>3.2</v>
      </c>
      <c r="L437" s="18">
        <v>4.5999999999999996</v>
      </c>
      <c r="M437" s="156"/>
      <c r="N437" s="156"/>
    </row>
    <row r="438" spans="3:14">
      <c r="C438" s="18">
        <f t="shared" si="7"/>
        <v>42</v>
      </c>
      <c r="D438" s="18" t="s">
        <v>71</v>
      </c>
      <c r="E438" s="158">
        <v>63</v>
      </c>
      <c r="F438" s="158" t="s">
        <v>244</v>
      </c>
      <c r="G438" s="158" t="s">
        <v>695</v>
      </c>
      <c r="H438" s="158">
        <v>77.5</v>
      </c>
      <c r="I438" s="158" t="s">
        <v>1170</v>
      </c>
      <c r="J438" s="18">
        <v>1.4</v>
      </c>
      <c r="K438" s="30">
        <v>3.2</v>
      </c>
      <c r="L438" s="18">
        <v>4.5999999999999996</v>
      </c>
      <c r="M438" s="156"/>
      <c r="N438" s="156"/>
    </row>
    <row r="439" spans="3:14">
      <c r="C439" s="18"/>
      <c r="D439" s="18"/>
      <c r="E439" s="158"/>
      <c r="F439" s="158"/>
      <c r="G439" s="158"/>
      <c r="H439" s="158"/>
      <c r="I439" s="158"/>
      <c r="J439" s="18"/>
      <c r="K439" s="30"/>
      <c r="L439" s="18"/>
      <c r="M439" s="156"/>
      <c r="N439" s="156"/>
    </row>
    <row r="440" spans="3:14">
      <c r="C440" s="18"/>
      <c r="D440" s="18"/>
      <c r="E440" s="29"/>
      <c r="F440" s="29"/>
      <c r="G440" s="29"/>
      <c r="H440" s="29"/>
      <c r="I440" s="29"/>
      <c r="J440" s="18"/>
      <c r="K440" s="30"/>
      <c r="L440" s="18"/>
      <c r="M440" s="16"/>
      <c r="N440" s="16"/>
    </row>
    <row r="441" spans="3:14">
      <c r="C441" s="374"/>
      <c r="D441" s="374"/>
      <c r="E441" s="374"/>
      <c r="F441" s="374"/>
      <c r="G441" s="374"/>
      <c r="H441" s="374"/>
      <c r="I441" s="374"/>
      <c r="J441" s="374"/>
      <c r="K441" s="374"/>
      <c r="L441" s="374"/>
      <c r="M441" s="374"/>
      <c r="N441" s="374"/>
    </row>
    <row r="442" spans="3:14">
      <c r="C442" s="324"/>
      <c r="D442" s="324"/>
      <c r="E442" s="325" t="s">
        <v>86</v>
      </c>
      <c r="F442" s="325"/>
      <c r="G442" s="325"/>
      <c r="H442" s="325"/>
      <c r="I442" s="325" t="s">
        <v>87</v>
      </c>
      <c r="J442" s="325"/>
      <c r="K442" s="325"/>
      <c r="L442" s="325" t="s">
        <v>39</v>
      </c>
      <c r="M442" s="325"/>
      <c r="N442" s="325"/>
    </row>
    <row r="443" spans="3:14">
      <c r="C443" s="295" t="s">
        <v>40</v>
      </c>
      <c r="D443" s="295"/>
      <c r="E443" s="317"/>
      <c r="F443" s="317"/>
      <c r="G443" s="317"/>
      <c r="H443" s="317"/>
      <c r="I443" s="317"/>
      <c r="J443" s="317"/>
      <c r="K443" s="317"/>
      <c r="L443" s="317"/>
      <c r="M443" s="317"/>
      <c r="N443" s="317"/>
    </row>
    <row r="444" spans="3:14">
      <c r="C444" s="295" t="s">
        <v>41</v>
      </c>
      <c r="D444" s="295"/>
      <c r="E444" s="317"/>
      <c r="F444" s="317"/>
      <c r="G444" s="317"/>
      <c r="H444" s="317"/>
      <c r="I444" s="317"/>
      <c r="J444" s="317"/>
      <c r="K444" s="317"/>
      <c r="L444" s="317"/>
      <c r="M444" s="317"/>
      <c r="N444" s="317"/>
    </row>
    <row r="445" spans="3:14">
      <c r="C445" s="295" t="s">
        <v>42</v>
      </c>
      <c r="D445" s="295"/>
      <c r="E445" s="317"/>
      <c r="F445" s="317"/>
      <c r="G445" s="317"/>
      <c r="H445" s="317"/>
      <c r="I445" s="317"/>
      <c r="J445" s="317"/>
      <c r="K445" s="317"/>
      <c r="L445" s="317"/>
      <c r="M445" s="317"/>
      <c r="N445" s="317"/>
    </row>
    <row r="446" spans="3:14">
      <c r="C446" s="295" t="s">
        <v>43</v>
      </c>
      <c r="D446" s="295"/>
      <c r="E446" s="315"/>
      <c r="F446" s="316"/>
      <c r="G446" s="316"/>
      <c r="H446" s="316"/>
      <c r="I446" s="317"/>
      <c r="J446" s="317"/>
      <c r="K446" s="317"/>
      <c r="L446" s="317"/>
      <c r="M446" s="317"/>
      <c r="N446" s="317"/>
    </row>
  </sheetData>
  <mergeCells count="287">
    <mergeCell ref="C6:D6"/>
    <mergeCell ref="C7:D7"/>
    <mergeCell ref="C8:D8"/>
    <mergeCell ref="C9:D9"/>
    <mergeCell ref="C10:N10"/>
    <mergeCell ref="C12:N12"/>
    <mergeCell ref="D13:H13"/>
    <mergeCell ref="I13:N13"/>
    <mergeCell ref="J14:L14"/>
    <mergeCell ref="E14:E15"/>
    <mergeCell ref="F14:F15"/>
    <mergeCell ref="G14:G15"/>
    <mergeCell ref="H14:H15"/>
    <mergeCell ref="I14:I15"/>
    <mergeCell ref="M14:M15"/>
    <mergeCell ref="N14:N15"/>
    <mergeCell ref="C51:N51"/>
    <mergeCell ref="C52:D52"/>
    <mergeCell ref="E52:H52"/>
    <mergeCell ref="I52:K52"/>
    <mergeCell ref="L52:N52"/>
    <mergeCell ref="C53:D53"/>
    <mergeCell ref="E53:H53"/>
    <mergeCell ref="I53:K53"/>
    <mergeCell ref="L53:N53"/>
    <mergeCell ref="C54:D54"/>
    <mergeCell ref="E54:H54"/>
    <mergeCell ref="I54:K54"/>
    <mergeCell ref="L54:N54"/>
    <mergeCell ref="C55:D55"/>
    <mergeCell ref="E55:H55"/>
    <mergeCell ref="I55:K55"/>
    <mergeCell ref="L55:N55"/>
    <mergeCell ref="C56:D56"/>
    <mergeCell ref="E56:H56"/>
    <mergeCell ref="I56:K56"/>
    <mergeCell ref="L56:N56"/>
    <mergeCell ref="C62:D62"/>
    <mergeCell ref="C63:D63"/>
    <mergeCell ref="C64:D64"/>
    <mergeCell ref="C65:D65"/>
    <mergeCell ref="C66:N66"/>
    <mergeCell ref="C68:N68"/>
    <mergeCell ref="D69:H69"/>
    <mergeCell ref="I69:N69"/>
    <mergeCell ref="J70:L70"/>
    <mergeCell ref="E70:E71"/>
    <mergeCell ref="F70:F71"/>
    <mergeCell ref="G70:G71"/>
    <mergeCell ref="H70:H71"/>
    <mergeCell ref="I70:I71"/>
    <mergeCell ref="M70:M71"/>
    <mergeCell ref="N70:N71"/>
    <mergeCell ref="C96:N96"/>
    <mergeCell ref="C97:D97"/>
    <mergeCell ref="E97:H97"/>
    <mergeCell ref="I97:K97"/>
    <mergeCell ref="L97:N97"/>
    <mergeCell ref="C98:D98"/>
    <mergeCell ref="E98:H98"/>
    <mergeCell ref="I98:K98"/>
    <mergeCell ref="L98:N98"/>
    <mergeCell ref="C99:D99"/>
    <mergeCell ref="E99:H99"/>
    <mergeCell ref="I99:K99"/>
    <mergeCell ref="L99:N99"/>
    <mergeCell ref="C100:D100"/>
    <mergeCell ref="E100:H100"/>
    <mergeCell ref="I100:K100"/>
    <mergeCell ref="L100:N100"/>
    <mergeCell ref="C101:D101"/>
    <mergeCell ref="E101:H101"/>
    <mergeCell ref="I101:K101"/>
    <mergeCell ref="L101:N101"/>
    <mergeCell ref="C107:D107"/>
    <mergeCell ref="C108:D108"/>
    <mergeCell ref="C109:D109"/>
    <mergeCell ref="C110:D110"/>
    <mergeCell ref="C111:N111"/>
    <mergeCell ref="C113:N113"/>
    <mergeCell ref="D114:H114"/>
    <mergeCell ref="I114:N114"/>
    <mergeCell ref="J115:L115"/>
    <mergeCell ref="E115:E116"/>
    <mergeCell ref="F115:F116"/>
    <mergeCell ref="G115:G116"/>
    <mergeCell ref="H115:H116"/>
    <mergeCell ref="I115:I116"/>
    <mergeCell ref="M115:M116"/>
    <mergeCell ref="N115:N116"/>
    <mergeCell ref="C151:N151"/>
    <mergeCell ref="C152:D152"/>
    <mergeCell ref="E152:H152"/>
    <mergeCell ref="I152:K152"/>
    <mergeCell ref="L152:N152"/>
    <mergeCell ref="C153:D153"/>
    <mergeCell ref="E153:H153"/>
    <mergeCell ref="I153:K153"/>
    <mergeCell ref="L153:N153"/>
    <mergeCell ref="C154:D154"/>
    <mergeCell ref="E154:H154"/>
    <mergeCell ref="I154:K154"/>
    <mergeCell ref="L154:N154"/>
    <mergeCell ref="C155:D155"/>
    <mergeCell ref="E155:H155"/>
    <mergeCell ref="I155:K155"/>
    <mergeCell ref="L155:N155"/>
    <mergeCell ref="C156:D156"/>
    <mergeCell ref="E156:H156"/>
    <mergeCell ref="I156:K156"/>
    <mergeCell ref="L156:N156"/>
    <mergeCell ref="C162:D162"/>
    <mergeCell ref="C163:D163"/>
    <mergeCell ref="C164:D164"/>
    <mergeCell ref="C165:D165"/>
    <mergeCell ref="C166:N166"/>
    <mergeCell ref="C168:N168"/>
    <mergeCell ref="D169:H169"/>
    <mergeCell ref="I169:N169"/>
    <mergeCell ref="J170:L170"/>
    <mergeCell ref="E170:E171"/>
    <mergeCell ref="F170:F171"/>
    <mergeCell ref="G170:G171"/>
    <mergeCell ref="H170:H171"/>
    <mergeCell ref="I170:I171"/>
    <mergeCell ref="M170:M171"/>
    <mergeCell ref="N170:N171"/>
    <mergeCell ref="C208:N208"/>
    <mergeCell ref="C209:D209"/>
    <mergeCell ref="E209:H209"/>
    <mergeCell ref="I209:K209"/>
    <mergeCell ref="L209:N209"/>
    <mergeCell ref="C210:D210"/>
    <mergeCell ref="E210:H210"/>
    <mergeCell ref="I210:K210"/>
    <mergeCell ref="L210:N210"/>
    <mergeCell ref="C211:D211"/>
    <mergeCell ref="E211:H211"/>
    <mergeCell ref="I211:K211"/>
    <mergeCell ref="L211:N211"/>
    <mergeCell ref="C212:D212"/>
    <mergeCell ref="E212:H212"/>
    <mergeCell ref="I212:K212"/>
    <mergeCell ref="L212:N212"/>
    <mergeCell ref="C213:D213"/>
    <mergeCell ref="E213:H213"/>
    <mergeCell ref="I213:K213"/>
    <mergeCell ref="L213:N213"/>
    <mergeCell ref="C220:D220"/>
    <mergeCell ref="C221:D221"/>
    <mergeCell ref="C222:D222"/>
    <mergeCell ref="C223:D223"/>
    <mergeCell ref="C224:N224"/>
    <mergeCell ref="C226:N226"/>
    <mergeCell ref="D227:H227"/>
    <mergeCell ref="I227:N227"/>
    <mergeCell ref="J228:L228"/>
    <mergeCell ref="C228:C229"/>
    <mergeCell ref="E228:E229"/>
    <mergeCell ref="F228:F229"/>
    <mergeCell ref="G228:G229"/>
    <mergeCell ref="H228:H229"/>
    <mergeCell ref="I228:I229"/>
    <mergeCell ref="M228:M229"/>
    <mergeCell ref="N228:N229"/>
    <mergeCell ref="C291:N291"/>
    <mergeCell ref="C292:D292"/>
    <mergeCell ref="E292:H292"/>
    <mergeCell ref="I292:K292"/>
    <mergeCell ref="L292:N292"/>
    <mergeCell ref="C293:D293"/>
    <mergeCell ref="E293:H293"/>
    <mergeCell ref="I293:K293"/>
    <mergeCell ref="L293:N293"/>
    <mergeCell ref="C294:D294"/>
    <mergeCell ref="E294:H294"/>
    <mergeCell ref="I294:K294"/>
    <mergeCell ref="L294:N294"/>
    <mergeCell ref="C295:D295"/>
    <mergeCell ref="E295:H295"/>
    <mergeCell ref="I295:K295"/>
    <mergeCell ref="L295:N295"/>
    <mergeCell ref="C296:D296"/>
    <mergeCell ref="E296:H296"/>
    <mergeCell ref="I296:K296"/>
    <mergeCell ref="L296:N296"/>
    <mergeCell ref="C304:D304"/>
    <mergeCell ref="C305:D305"/>
    <mergeCell ref="C306:N306"/>
    <mergeCell ref="C308:N308"/>
    <mergeCell ref="D309:H309"/>
    <mergeCell ref="I309:N309"/>
    <mergeCell ref="J310:L310"/>
    <mergeCell ref="E310:E311"/>
    <mergeCell ref="F310:F311"/>
    <mergeCell ref="G310:G311"/>
    <mergeCell ref="H310:H311"/>
    <mergeCell ref="I310:I311"/>
    <mergeCell ref="M310:M311"/>
    <mergeCell ref="N310:N311"/>
    <mergeCell ref="L379:N379"/>
    <mergeCell ref="C380:D380"/>
    <mergeCell ref="E380:H380"/>
    <mergeCell ref="I380:K380"/>
    <mergeCell ref="L380:N380"/>
    <mergeCell ref="C381:D381"/>
    <mergeCell ref="E381:H381"/>
    <mergeCell ref="I381:K381"/>
    <mergeCell ref="L381:N381"/>
    <mergeCell ref="I394:N394"/>
    <mergeCell ref="J395:L395"/>
    <mergeCell ref="E395:E396"/>
    <mergeCell ref="F395:F396"/>
    <mergeCell ref="G395:G396"/>
    <mergeCell ref="H395:H396"/>
    <mergeCell ref="I395:I396"/>
    <mergeCell ref="M395:M396"/>
    <mergeCell ref="N395:N396"/>
    <mergeCell ref="C441:N441"/>
    <mergeCell ref="C442:D442"/>
    <mergeCell ref="E442:H442"/>
    <mergeCell ref="I442:K442"/>
    <mergeCell ref="L442:N442"/>
    <mergeCell ref="C443:D443"/>
    <mergeCell ref="E443:H443"/>
    <mergeCell ref="I443:K443"/>
    <mergeCell ref="L443:N443"/>
    <mergeCell ref="C444:D444"/>
    <mergeCell ref="E444:H444"/>
    <mergeCell ref="I444:K444"/>
    <mergeCell ref="L444:N444"/>
    <mergeCell ref="C445:D445"/>
    <mergeCell ref="E445:H445"/>
    <mergeCell ref="I445:K445"/>
    <mergeCell ref="L445:N445"/>
    <mergeCell ref="C446:D446"/>
    <mergeCell ref="E446:H446"/>
    <mergeCell ref="I446:K446"/>
    <mergeCell ref="L446:N446"/>
    <mergeCell ref="C395:C396"/>
    <mergeCell ref="D14:D15"/>
    <mergeCell ref="D70:D71"/>
    <mergeCell ref="D115:D116"/>
    <mergeCell ref="D170:D171"/>
    <mergeCell ref="D228:D229"/>
    <mergeCell ref="D310:D311"/>
    <mergeCell ref="D395:D396"/>
    <mergeCell ref="C2:C5"/>
    <mergeCell ref="C14:C15"/>
    <mergeCell ref="C58:C61"/>
    <mergeCell ref="C70:C71"/>
    <mergeCell ref="C103:C106"/>
    <mergeCell ref="C115:C116"/>
    <mergeCell ref="C158:C161"/>
    <mergeCell ref="C170:C171"/>
    <mergeCell ref="C216:C219"/>
    <mergeCell ref="C387:D387"/>
    <mergeCell ref="C388:D388"/>
    <mergeCell ref="C389:D389"/>
    <mergeCell ref="C390:D390"/>
    <mergeCell ref="C391:N391"/>
    <mergeCell ref="C393:N393"/>
    <mergeCell ref="D394:H394"/>
    <mergeCell ref="D2:K5"/>
    <mergeCell ref="D58:K61"/>
    <mergeCell ref="D103:K106"/>
    <mergeCell ref="D158:K161"/>
    <mergeCell ref="D216:K219"/>
    <mergeCell ref="D298:K301"/>
    <mergeCell ref="D383:K386"/>
    <mergeCell ref="C298:C301"/>
    <mergeCell ref="C310:C311"/>
    <mergeCell ref="C383:C386"/>
    <mergeCell ref="C379:D379"/>
    <mergeCell ref="E379:H379"/>
    <mergeCell ref="I379:K379"/>
    <mergeCell ref="C376:N376"/>
    <mergeCell ref="C377:D377"/>
    <mergeCell ref="E377:H377"/>
    <mergeCell ref="I377:K377"/>
    <mergeCell ref="L377:N377"/>
    <mergeCell ref="C378:D378"/>
    <mergeCell ref="E378:H378"/>
    <mergeCell ref="I378:K378"/>
    <mergeCell ref="L378:N378"/>
    <mergeCell ref="C302:D302"/>
    <mergeCell ref="C303:D303"/>
  </mergeCells>
  <pageMargins left="0.7" right="0.7" top="0.75" bottom="0.75" header="0.3" footer="0.3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N249"/>
  <sheetViews>
    <sheetView topLeftCell="A151" zoomScale="85" zoomScaleNormal="85" workbookViewId="0">
      <selection activeCell="P19" sqref="P19"/>
    </sheetView>
  </sheetViews>
  <sheetFormatPr defaultColWidth="9.140625" defaultRowHeight="15"/>
  <cols>
    <col min="9" max="9" width="11" customWidth="1"/>
    <col min="13" max="13" width="11.5703125" customWidth="1"/>
  </cols>
  <sheetData>
    <row r="3" spans="3:14">
      <c r="C3" s="206"/>
      <c r="D3" s="211" t="s">
        <v>44</v>
      </c>
      <c r="E3" s="212"/>
      <c r="F3" s="212"/>
      <c r="G3" s="212"/>
      <c r="H3" s="212"/>
      <c r="I3" s="212"/>
      <c r="J3" s="212"/>
      <c r="K3" s="212"/>
      <c r="L3" s="20"/>
      <c r="M3" s="20"/>
      <c r="N3" s="21"/>
    </row>
    <row r="4" spans="3:14">
      <c r="C4" s="207"/>
      <c r="D4" s="214"/>
      <c r="E4" s="215"/>
      <c r="F4" s="215"/>
      <c r="G4" s="215"/>
      <c r="H4" s="215"/>
      <c r="I4" s="215"/>
      <c r="J4" s="215"/>
      <c r="K4" s="215"/>
      <c r="N4" s="22"/>
    </row>
    <row r="5" spans="3:14">
      <c r="C5" s="207"/>
      <c r="D5" s="214"/>
      <c r="E5" s="215"/>
      <c r="F5" s="215"/>
      <c r="G5" s="215"/>
      <c r="H5" s="215"/>
      <c r="I5" s="215"/>
      <c r="J5" s="215"/>
      <c r="K5" s="215"/>
      <c r="N5" s="22"/>
    </row>
    <row r="6" spans="3:14">
      <c r="C6" s="207"/>
      <c r="D6" s="289"/>
      <c r="E6" s="290"/>
      <c r="F6" s="290"/>
      <c r="G6" s="290"/>
      <c r="H6" s="290"/>
      <c r="I6" s="290"/>
      <c r="J6" s="290"/>
      <c r="K6" s="290"/>
      <c r="N6" s="22"/>
    </row>
    <row r="7" spans="3:14" ht="16.5">
      <c r="C7" s="223" t="s">
        <v>45</v>
      </c>
      <c r="D7" s="224"/>
      <c r="E7" s="7" t="s">
        <v>46</v>
      </c>
      <c r="F7" s="8"/>
      <c r="G7" s="8"/>
      <c r="H7" s="8"/>
      <c r="I7" s="8"/>
      <c r="J7" s="8"/>
      <c r="K7" s="8"/>
      <c r="L7" s="8"/>
      <c r="M7" s="8"/>
      <c r="N7" s="23"/>
    </row>
    <row r="8" spans="3:14" ht="16.5">
      <c r="C8" s="223" t="s">
        <v>48</v>
      </c>
      <c r="D8" s="224"/>
      <c r="E8" s="7" t="s">
        <v>49</v>
      </c>
      <c r="F8" s="8"/>
      <c r="G8" s="8"/>
      <c r="H8" s="8"/>
      <c r="I8" s="8"/>
      <c r="J8" s="8"/>
      <c r="K8" s="8"/>
      <c r="L8" s="8"/>
      <c r="M8" s="8"/>
      <c r="N8" s="23"/>
    </row>
    <row r="9" spans="3:14" ht="16.5">
      <c r="C9" s="225" t="s">
        <v>50</v>
      </c>
      <c r="D9" s="226"/>
      <c r="E9" s="7" t="s">
        <v>51</v>
      </c>
      <c r="F9" s="8"/>
      <c r="G9" s="8"/>
      <c r="H9" s="8"/>
      <c r="I9" s="8"/>
      <c r="J9" s="8"/>
      <c r="K9" s="8"/>
      <c r="L9" s="8"/>
      <c r="M9" s="8"/>
      <c r="N9" s="23"/>
    </row>
    <row r="10" spans="3:14" ht="16.5">
      <c r="C10" s="223" t="s">
        <v>52</v>
      </c>
      <c r="D10" s="224"/>
      <c r="E10" s="7" t="s">
        <v>53</v>
      </c>
      <c r="F10" s="8"/>
      <c r="G10" s="8"/>
      <c r="H10" s="8"/>
      <c r="I10" s="8"/>
      <c r="J10" s="8"/>
      <c r="K10" s="8"/>
      <c r="L10" s="8"/>
      <c r="M10" s="8"/>
      <c r="N10" s="23"/>
    </row>
    <row r="11" spans="3:14" ht="15.75">
      <c r="C11" s="227" t="s">
        <v>1182</v>
      </c>
      <c r="D11" s="228"/>
      <c r="E11" s="228"/>
      <c r="F11" s="228"/>
      <c r="G11" s="228"/>
      <c r="H11" s="228"/>
      <c r="I11" s="228"/>
      <c r="J11" s="228"/>
      <c r="K11" s="228"/>
      <c r="L11" s="228"/>
      <c r="M11" s="228"/>
      <c r="N11" s="229"/>
    </row>
    <row r="12" spans="3:14" ht="15.75">
      <c r="C12" s="11" t="s">
        <v>55</v>
      </c>
      <c r="E12" s="12"/>
      <c r="F12" s="12"/>
      <c r="G12" s="12"/>
      <c r="H12" s="12"/>
      <c r="I12" s="24" t="s">
        <v>56</v>
      </c>
      <c r="J12" s="25"/>
      <c r="K12" s="12"/>
      <c r="L12" s="12"/>
      <c r="M12" s="12"/>
      <c r="N12" s="26"/>
    </row>
    <row r="13" spans="3:14">
      <c r="C13" s="217"/>
      <c r="D13" s="218"/>
      <c r="E13" s="218"/>
      <c r="F13" s="218"/>
      <c r="G13" s="218"/>
      <c r="H13" s="218"/>
      <c r="I13" s="218"/>
      <c r="J13" s="218"/>
      <c r="K13" s="218"/>
      <c r="L13" s="218"/>
      <c r="M13" s="218"/>
      <c r="N13" s="219"/>
    </row>
    <row r="14" spans="3:14" ht="15.75">
      <c r="C14" s="15" t="s">
        <v>103</v>
      </c>
      <c r="D14" s="355"/>
      <c r="E14" s="356"/>
      <c r="F14" s="356"/>
      <c r="G14" s="356"/>
      <c r="H14" s="357"/>
      <c r="I14" s="368" t="s">
        <v>542</v>
      </c>
      <c r="J14" s="369"/>
      <c r="K14" s="369"/>
      <c r="L14" s="369"/>
      <c r="M14" s="369"/>
      <c r="N14" s="370"/>
    </row>
    <row r="15" spans="3:14">
      <c r="C15" s="329" t="s">
        <v>59</v>
      </c>
      <c r="D15" s="209" t="s">
        <v>60</v>
      </c>
      <c r="E15" s="209" t="s">
        <v>659</v>
      </c>
      <c r="F15" s="209" t="s">
        <v>62</v>
      </c>
      <c r="G15" s="209" t="s">
        <v>63</v>
      </c>
      <c r="H15" s="209" t="s">
        <v>64</v>
      </c>
      <c r="I15" s="209" t="s">
        <v>65</v>
      </c>
      <c r="J15" s="342" t="s">
        <v>66</v>
      </c>
      <c r="K15" s="343"/>
      <c r="L15" s="344"/>
      <c r="M15" s="209" t="s">
        <v>30</v>
      </c>
      <c r="N15" s="328" t="s">
        <v>67</v>
      </c>
    </row>
    <row r="16" spans="3:14" ht="60">
      <c r="C16" s="359"/>
      <c r="D16" s="292"/>
      <c r="E16" s="292"/>
      <c r="F16" s="292"/>
      <c r="G16" s="292"/>
      <c r="H16" s="292"/>
      <c r="I16" s="292"/>
      <c r="J16" s="17" t="s">
        <v>68</v>
      </c>
      <c r="K16" s="28" t="s">
        <v>999</v>
      </c>
      <c r="L16" s="17" t="s">
        <v>70</v>
      </c>
      <c r="M16" s="292"/>
      <c r="N16" s="360"/>
    </row>
    <row r="17" spans="3:14">
      <c r="C17" s="18">
        <v>1</v>
      </c>
      <c r="D17" s="18" t="s">
        <v>71</v>
      </c>
      <c r="E17" s="19">
        <v>63</v>
      </c>
      <c r="F17" s="19" t="s">
        <v>717</v>
      </c>
      <c r="G17" s="19" t="s">
        <v>433</v>
      </c>
      <c r="H17" s="29">
        <v>23.6</v>
      </c>
      <c r="I17" s="29" t="s">
        <v>276</v>
      </c>
      <c r="J17" s="18">
        <v>1.2</v>
      </c>
      <c r="K17" s="30">
        <v>3.1</v>
      </c>
      <c r="L17" s="18">
        <v>4.3</v>
      </c>
      <c r="M17" s="16"/>
      <c r="N17" s="16"/>
    </row>
    <row r="18" spans="3:14">
      <c r="C18" s="18">
        <f t="shared" ref="C18:C54" si="0">1+C17</f>
        <v>2</v>
      </c>
      <c r="D18" s="18" t="s">
        <v>71</v>
      </c>
      <c r="E18" s="19">
        <v>63</v>
      </c>
      <c r="F18" s="19" t="s">
        <v>717</v>
      </c>
      <c r="G18" s="19" t="s">
        <v>433</v>
      </c>
      <c r="H18" s="29">
        <v>70.099999999999994</v>
      </c>
      <c r="I18" s="29" t="s">
        <v>276</v>
      </c>
      <c r="J18" s="18">
        <v>1.2</v>
      </c>
      <c r="K18" s="30">
        <v>3.1</v>
      </c>
      <c r="L18" s="18">
        <v>4.3</v>
      </c>
      <c r="M18" s="16"/>
      <c r="N18" s="16"/>
    </row>
    <row r="19" spans="3:14">
      <c r="C19" s="18">
        <f t="shared" si="0"/>
        <v>3</v>
      </c>
      <c r="D19" s="18" t="s">
        <v>71</v>
      </c>
      <c r="E19" s="19">
        <v>63</v>
      </c>
      <c r="F19" s="19" t="s">
        <v>199</v>
      </c>
      <c r="G19" s="19" t="s">
        <v>504</v>
      </c>
      <c r="H19" s="29">
        <v>71.3</v>
      </c>
      <c r="I19" s="29" t="s">
        <v>276</v>
      </c>
      <c r="J19" s="18">
        <v>1.2</v>
      </c>
      <c r="K19" s="30">
        <v>3.1</v>
      </c>
      <c r="L19" s="18">
        <v>4.3</v>
      </c>
      <c r="M19" s="16"/>
      <c r="N19" s="16"/>
    </row>
    <row r="20" spans="3:14">
      <c r="C20" s="18">
        <f t="shared" si="0"/>
        <v>4</v>
      </c>
      <c r="D20" s="18" t="s">
        <v>71</v>
      </c>
      <c r="E20" s="19">
        <v>63</v>
      </c>
      <c r="F20" s="19" t="s">
        <v>199</v>
      </c>
      <c r="G20" s="19" t="s">
        <v>504</v>
      </c>
      <c r="H20" s="29">
        <v>43.5</v>
      </c>
      <c r="I20" s="29" t="s">
        <v>276</v>
      </c>
      <c r="J20" s="18">
        <v>1.2</v>
      </c>
      <c r="K20" s="30">
        <v>3.1</v>
      </c>
      <c r="L20" s="18">
        <v>4.3</v>
      </c>
      <c r="M20" s="16"/>
      <c r="N20" s="16"/>
    </row>
    <row r="21" spans="3:14">
      <c r="C21" s="18">
        <f t="shared" si="0"/>
        <v>5</v>
      </c>
      <c r="D21" s="18" t="s">
        <v>71</v>
      </c>
      <c r="E21" s="19">
        <v>63</v>
      </c>
      <c r="F21" s="19" t="s">
        <v>199</v>
      </c>
      <c r="G21" s="19" t="s">
        <v>338</v>
      </c>
      <c r="H21" s="29">
        <v>17.5</v>
      </c>
      <c r="I21" s="29" t="s">
        <v>276</v>
      </c>
      <c r="J21" s="18">
        <v>1.2</v>
      </c>
      <c r="K21" s="30">
        <v>3.1</v>
      </c>
      <c r="L21" s="18">
        <v>4.3</v>
      </c>
      <c r="M21" s="16"/>
      <c r="N21" s="16"/>
    </row>
    <row r="22" spans="3:14">
      <c r="C22" s="18">
        <f t="shared" si="0"/>
        <v>6</v>
      </c>
      <c r="D22" s="18" t="s">
        <v>71</v>
      </c>
      <c r="E22" s="19">
        <v>63</v>
      </c>
      <c r="F22" s="19" t="s">
        <v>338</v>
      </c>
      <c r="G22" s="19" t="s">
        <v>774</v>
      </c>
      <c r="H22" s="29">
        <v>17.600000000000001</v>
      </c>
      <c r="I22" s="29" t="s">
        <v>276</v>
      </c>
      <c r="J22" s="18">
        <v>1.2</v>
      </c>
      <c r="K22" s="30">
        <v>3.1</v>
      </c>
      <c r="L22" s="18">
        <v>4.3</v>
      </c>
      <c r="M22" s="16"/>
      <c r="N22" s="16"/>
    </row>
    <row r="23" spans="3:14">
      <c r="C23" s="18">
        <f t="shared" si="0"/>
        <v>7</v>
      </c>
      <c r="D23" s="18" t="s">
        <v>71</v>
      </c>
      <c r="E23" s="19">
        <v>63</v>
      </c>
      <c r="F23" s="19" t="s">
        <v>338</v>
      </c>
      <c r="G23" s="19" t="s">
        <v>717</v>
      </c>
      <c r="H23" s="29">
        <v>37.1</v>
      </c>
      <c r="I23" s="29" t="s">
        <v>276</v>
      </c>
      <c r="J23" s="18">
        <v>1.2</v>
      </c>
      <c r="K23" s="30">
        <v>3.1</v>
      </c>
      <c r="L23" s="18">
        <v>4.3</v>
      </c>
      <c r="M23" s="16"/>
      <c r="N23" s="16"/>
    </row>
    <row r="24" spans="3:14">
      <c r="C24" s="18">
        <f t="shared" si="0"/>
        <v>8</v>
      </c>
      <c r="D24" s="18" t="s">
        <v>71</v>
      </c>
      <c r="E24" s="19">
        <v>63</v>
      </c>
      <c r="F24" s="19" t="s">
        <v>338</v>
      </c>
      <c r="G24" s="19" t="s">
        <v>717</v>
      </c>
      <c r="H24" s="29">
        <v>101.5</v>
      </c>
      <c r="I24" s="29" t="s">
        <v>276</v>
      </c>
      <c r="J24" s="18">
        <v>1.2</v>
      </c>
      <c r="K24" s="30">
        <v>3.1</v>
      </c>
      <c r="L24" s="18">
        <v>4.3</v>
      </c>
      <c r="M24" s="16"/>
      <c r="N24" s="16"/>
    </row>
    <row r="25" spans="3:14">
      <c r="C25" s="18">
        <f t="shared" si="0"/>
        <v>9</v>
      </c>
      <c r="D25" s="18" t="s">
        <v>71</v>
      </c>
      <c r="E25" s="19">
        <v>63</v>
      </c>
      <c r="F25" s="19" t="s">
        <v>717</v>
      </c>
      <c r="G25" s="19" t="s">
        <v>233</v>
      </c>
      <c r="H25" s="29">
        <v>92.4</v>
      </c>
      <c r="I25" s="29" t="s">
        <v>276</v>
      </c>
      <c r="J25" s="18">
        <v>1.2</v>
      </c>
      <c r="K25" s="30">
        <v>3.1</v>
      </c>
      <c r="L25" s="18">
        <v>4.3</v>
      </c>
      <c r="M25" s="16"/>
      <c r="N25" s="16"/>
    </row>
    <row r="26" spans="3:14">
      <c r="C26" s="18">
        <f t="shared" si="0"/>
        <v>10</v>
      </c>
      <c r="D26" s="18" t="s">
        <v>71</v>
      </c>
      <c r="E26" s="19">
        <v>63</v>
      </c>
      <c r="F26" s="19" t="s">
        <v>244</v>
      </c>
      <c r="G26" s="19" t="s">
        <v>187</v>
      </c>
      <c r="H26" s="29">
        <v>65.099999999999994</v>
      </c>
      <c r="I26" s="29" t="s">
        <v>276</v>
      </c>
      <c r="J26" s="18">
        <v>1.2</v>
      </c>
      <c r="K26" s="30">
        <v>3.1</v>
      </c>
      <c r="L26" s="18">
        <v>4.3</v>
      </c>
      <c r="M26" s="16"/>
      <c r="N26" s="16"/>
    </row>
    <row r="27" spans="3:14">
      <c r="C27" s="18">
        <f t="shared" si="0"/>
        <v>11</v>
      </c>
      <c r="D27" s="18" t="s">
        <v>71</v>
      </c>
      <c r="E27" s="19">
        <v>63</v>
      </c>
      <c r="F27" s="19" t="s">
        <v>233</v>
      </c>
      <c r="G27" s="19" t="s">
        <v>148</v>
      </c>
      <c r="H27" s="29">
        <v>6.2</v>
      </c>
      <c r="I27" s="29" t="s">
        <v>276</v>
      </c>
      <c r="J27" s="18">
        <v>1.2</v>
      </c>
      <c r="K27" s="30">
        <v>3.1</v>
      </c>
      <c r="L27" s="18">
        <v>4.3</v>
      </c>
      <c r="M27" s="16"/>
      <c r="N27" s="16"/>
    </row>
    <row r="28" spans="3:14">
      <c r="C28" s="18">
        <f t="shared" si="0"/>
        <v>12</v>
      </c>
      <c r="D28" s="18" t="s">
        <v>71</v>
      </c>
      <c r="E28" s="19">
        <v>63</v>
      </c>
      <c r="F28" s="19" t="s">
        <v>233</v>
      </c>
      <c r="G28" s="19" t="s">
        <v>148</v>
      </c>
      <c r="H28" s="29">
        <v>85.3</v>
      </c>
      <c r="I28" s="29" t="s">
        <v>276</v>
      </c>
      <c r="J28" s="18">
        <v>1.2</v>
      </c>
      <c r="K28" s="30">
        <v>3.1</v>
      </c>
      <c r="L28" s="18">
        <v>4.3</v>
      </c>
      <c r="M28" s="16"/>
      <c r="N28" s="16"/>
    </row>
    <row r="29" spans="3:14">
      <c r="C29" s="18">
        <f t="shared" si="0"/>
        <v>13</v>
      </c>
      <c r="D29" s="18" t="s">
        <v>71</v>
      </c>
      <c r="E29" s="19">
        <v>63</v>
      </c>
      <c r="F29" s="19" t="s">
        <v>148</v>
      </c>
      <c r="G29" s="19" t="s">
        <v>319</v>
      </c>
      <c r="H29" s="29">
        <v>3.2</v>
      </c>
      <c r="I29" s="29" t="s">
        <v>276</v>
      </c>
      <c r="J29" s="18">
        <v>1.2</v>
      </c>
      <c r="K29" s="30">
        <v>3.1</v>
      </c>
      <c r="L29" s="18">
        <v>4.3</v>
      </c>
      <c r="M29" s="16"/>
      <c r="N29" s="16"/>
    </row>
    <row r="30" spans="3:14">
      <c r="C30" s="18">
        <f t="shared" si="0"/>
        <v>14</v>
      </c>
      <c r="D30" s="18" t="s">
        <v>71</v>
      </c>
      <c r="E30" s="19">
        <v>63</v>
      </c>
      <c r="F30" s="19" t="s">
        <v>148</v>
      </c>
      <c r="G30" s="19" t="s">
        <v>230</v>
      </c>
      <c r="H30" s="29">
        <v>5.2</v>
      </c>
      <c r="I30" s="29" t="s">
        <v>276</v>
      </c>
      <c r="J30" s="18">
        <v>1.2</v>
      </c>
      <c r="K30" s="30">
        <v>3.1</v>
      </c>
      <c r="L30" s="18">
        <v>4.3</v>
      </c>
      <c r="M30" s="16"/>
      <c r="N30" s="16"/>
    </row>
    <row r="31" spans="3:14">
      <c r="C31" s="18">
        <f t="shared" si="0"/>
        <v>15</v>
      </c>
      <c r="D31" s="18" t="s">
        <v>71</v>
      </c>
      <c r="E31" s="19">
        <v>63</v>
      </c>
      <c r="F31" s="19" t="s">
        <v>148</v>
      </c>
      <c r="G31" s="19" t="s">
        <v>230</v>
      </c>
      <c r="H31" s="29">
        <v>3.5</v>
      </c>
      <c r="I31" s="29" t="s">
        <v>276</v>
      </c>
      <c r="J31" s="18">
        <v>1.2</v>
      </c>
      <c r="K31" s="30">
        <v>3.1</v>
      </c>
      <c r="L31" s="18">
        <v>4.3</v>
      </c>
      <c r="M31" s="16"/>
      <c r="N31" s="16"/>
    </row>
    <row r="32" spans="3:14">
      <c r="C32" s="18">
        <f t="shared" si="0"/>
        <v>16</v>
      </c>
      <c r="D32" s="18" t="s">
        <v>71</v>
      </c>
      <c r="E32" s="19">
        <v>63</v>
      </c>
      <c r="F32" s="19" t="s">
        <v>148</v>
      </c>
      <c r="G32" s="19" t="s">
        <v>230</v>
      </c>
      <c r="H32" s="33">
        <v>6.2</v>
      </c>
      <c r="I32" s="29" t="s">
        <v>276</v>
      </c>
      <c r="J32" s="18">
        <v>1.2</v>
      </c>
      <c r="K32" s="30">
        <v>3.1</v>
      </c>
      <c r="L32" s="18">
        <v>4.3</v>
      </c>
      <c r="M32" s="16"/>
      <c r="N32" s="16"/>
    </row>
    <row r="33" spans="3:14">
      <c r="C33" s="18">
        <f t="shared" si="0"/>
        <v>17</v>
      </c>
      <c r="D33" s="18" t="s">
        <v>71</v>
      </c>
      <c r="E33" s="19">
        <v>63</v>
      </c>
      <c r="F33" s="19" t="s">
        <v>148</v>
      </c>
      <c r="G33" s="19" t="s">
        <v>230</v>
      </c>
      <c r="H33" s="29">
        <v>38.700000000000003</v>
      </c>
      <c r="I33" s="29" t="s">
        <v>276</v>
      </c>
      <c r="J33" s="18">
        <v>1.2</v>
      </c>
      <c r="K33" s="30">
        <v>3.1</v>
      </c>
      <c r="L33" s="18">
        <v>4.3</v>
      </c>
      <c r="M33" s="16"/>
      <c r="N33" s="16"/>
    </row>
    <row r="34" spans="3:14">
      <c r="C34" s="18">
        <f t="shared" si="0"/>
        <v>18</v>
      </c>
      <c r="D34" s="18" t="s">
        <v>71</v>
      </c>
      <c r="E34" s="19">
        <v>63</v>
      </c>
      <c r="F34" s="19" t="s">
        <v>148</v>
      </c>
      <c r="G34" s="19" t="s">
        <v>319</v>
      </c>
      <c r="H34" s="29">
        <v>57.1</v>
      </c>
      <c r="I34" s="29" t="s">
        <v>276</v>
      </c>
      <c r="J34" s="18">
        <v>1.2</v>
      </c>
      <c r="K34" s="30">
        <v>3.1</v>
      </c>
      <c r="L34" s="18">
        <v>4.3</v>
      </c>
      <c r="M34" s="16"/>
      <c r="N34" s="16"/>
    </row>
    <row r="35" spans="3:14">
      <c r="C35" s="18">
        <f t="shared" si="0"/>
        <v>19</v>
      </c>
      <c r="D35" s="18" t="s">
        <v>71</v>
      </c>
      <c r="E35" s="19">
        <v>63</v>
      </c>
      <c r="F35" s="19" t="s">
        <v>148</v>
      </c>
      <c r="G35" s="19" t="s">
        <v>194</v>
      </c>
      <c r="H35" s="29">
        <v>53.3</v>
      </c>
      <c r="I35" s="29" t="s">
        <v>276</v>
      </c>
      <c r="J35" s="18">
        <v>1.2</v>
      </c>
      <c r="K35" s="30">
        <v>3.1</v>
      </c>
      <c r="L35" s="18">
        <v>4.3</v>
      </c>
      <c r="M35" s="16"/>
      <c r="N35" s="16"/>
    </row>
    <row r="36" spans="3:14">
      <c r="C36" s="18">
        <f t="shared" si="0"/>
        <v>20</v>
      </c>
      <c r="D36" s="18" t="s">
        <v>71</v>
      </c>
      <c r="E36" s="19">
        <v>110</v>
      </c>
      <c r="F36" s="19" t="s">
        <v>194</v>
      </c>
      <c r="G36" s="19" t="s">
        <v>520</v>
      </c>
      <c r="H36" s="29">
        <v>73.400000000000006</v>
      </c>
      <c r="I36" s="29" t="s">
        <v>276</v>
      </c>
      <c r="J36" s="18">
        <v>1.2</v>
      </c>
      <c r="K36" s="30">
        <v>3.1</v>
      </c>
      <c r="L36" s="18">
        <v>4.3</v>
      </c>
      <c r="M36" s="16"/>
      <c r="N36" s="16"/>
    </row>
    <row r="37" spans="3:14">
      <c r="C37" s="18">
        <f t="shared" si="0"/>
        <v>21</v>
      </c>
      <c r="D37" s="18" t="s">
        <v>71</v>
      </c>
      <c r="E37" s="19">
        <v>110</v>
      </c>
      <c r="F37" s="19" t="s">
        <v>194</v>
      </c>
      <c r="G37" s="19" t="s">
        <v>520</v>
      </c>
      <c r="H37" s="29">
        <v>52.1</v>
      </c>
      <c r="I37" s="29" t="s">
        <v>276</v>
      </c>
      <c r="J37" s="18">
        <v>1.2</v>
      </c>
      <c r="K37" s="30">
        <v>3.1</v>
      </c>
      <c r="L37" s="18">
        <v>4.3</v>
      </c>
      <c r="M37" s="16"/>
      <c r="N37" s="16"/>
    </row>
    <row r="38" spans="3:14">
      <c r="C38" s="18">
        <f t="shared" si="0"/>
        <v>22</v>
      </c>
      <c r="D38" s="18" t="s">
        <v>71</v>
      </c>
      <c r="E38" s="19">
        <v>110</v>
      </c>
      <c r="F38" s="19" t="s">
        <v>194</v>
      </c>
      <c r="G38" s="19" t="s">
        <v>520</v>
      </c>
      <c r="H38" s="29">
        <v>5.0999999999999996</v>
      </c>
      <c r="I38" s="29" t="s">
        <v>276</v>
      </c>
      <c r="J38" s="18">
        <v>1.2</v>
      </c>
      <c r="K38" s="30">
        <v>3.1</v>
      </c>
      <c r="L38" s="18">
        <v>4.3</v>
      </c>
      <c r="M38" s="16"/>
      <c r="N38" s="16"/>
    </row>
    <row r="39" spans="3:14">
      <c r="C39" s="18">
        <f t="shared" si="0"/>
        <v>23</v>
      </c>
      <c r="D39" s="18" t="s">
        <v>71</v>
      </c>
      <c r="E39" s="19">
        <v>63</v>
      </c>
      <c r="F39" s="19" t="s">
        <v>520</v>
      </c>
      <c r="G39" s="19" t="s">
        <v>72</v>
      </c>
      <c r="H39" s="29">
        <v>100.1</v>
      </c>
      <c r="I39" s="29" t="s">
        <v>276</v>
      </c>
      <c r="J39" s="18">
        <v>1.2</v>
      </c>
      <c r="K39" s="30">
        <v>3.1</v>
      </c>
      <c r="L39" s="18">
        <v>4.3</v>
      </c>
      <c r="M39" s="16"/>
      <c r="N39" s="16"/>
    </row>
    <row r="40" spans="3:14">
      <c r="C40" s="18">
        <f t="shared" si="0"/>
        <v>24</v>
      </c>
      <c r="D40" s="18" t="s">
        <v>71</v>
      </c>
      <c r="E40" s="19">
        <v>63</v>
      </c>
      <c r="F40" s="19" t="s">
        <v>520</v>
      </c>
      <c r="G40" s="19" t="s">
        <v>72</v>
      </c>
      <c r="H40" s="29">
        <v>12.1</v>
      </c>
      <c r="I40" s="29" t="s">
        <v>276</v>
      </c>
      <c r="J40" s="18">
        <v>1.2</v>
      </c>
      <c r="K40" s="30">
        <v>3.1</v>
      </c>
      <c r="L40" s="18">
        <v>4.3</v>
      </c>
      <c r="M40" s="16"/>
      <c r="N40" s="16"/>
    </row>
    <row r="41" spans="3:14">
      <c r="C41" s="18">
        <f t="shared" si="0"/>
        <v>25</v>
      </c>
      <c r="D41" s="18" t="s">
        <v>71</v>
      </c>
      <c r="E41" s="19">
        <v>63</v>
      </c>
      <c r="F41" s="19" t="s">
        <v>72</v>
      </c>
      <c r="G41" s="19" t="s">
        <v>1183</v>
      </c>
      <c r="H41" s="29">
        <v>25.5</v>
      </c>
      <c r="I41" s="29" t="s">
        <v>276</v>
      </c>
      <c r="J41" s="18">
        <v>1.2</v>
      </c>
      <c r="K41" s="30">
        <v>3.1</v>
      </c>
      <c r="L41" s="18">
        <v>4.3</v>
      </c>
      <c r="M41" s="16"/>
      <c r="N41" s="16"/>
    </row>
    <row r="42" spans="3:14">
      <c r="C42" s="18">
        <f t="shared" si="0"/>
        <v>26</v>
      </c>
      <c r="D42" s="18" t="s">
        <v>71</v>
      </c>
      <c r="E42" s="19">
        <v>63</v>
      </c>
      <c r="F42" s="19" t="s">
        <v>1183</v>
      </c>
      <c r="G42" s="19" t="s">
        <v>1184</v>
      </c>
      <c r="H42" s="29">
        <v>30.5</v>
      </c>
      <c r="I42" s="29" t="s">
        <v>276</v>
      </c>
      <c r="J42" s="18">
        <v>1.2</v>
      </c>
      <c r="K42" s="30">
        <v>3.1</v>
      </c>
      <c r="L42" s="18">
        <v>4.3</v>
      </c>
      <c r="M42" s="16"/>
      <c r="N42" s="16"/>
    </row>
    <row r="43" spans="3:14">
      <c r="C43" s="18">
        <f t="shared" si="0"/>
        <v>27</v>
      </c>
      <c r="D43" s="18" t="s">
        <v>71</v>
      </c>
      <c r="E43" s="19">
        <v>63</v>
      </c>
      <c r="F43" s="19" t="s">
        <v>1183</v>
      </c>
      <c r="G43" s="19" t="s">
        <v>1185</v>
      </c>
      <c r="H43" s="29">
        <v>39.299999999999997</v>
      </c>
      <c r="I43" s="29" t="s">
        <v>276</v>
      </c>
      <c r="J43" s="18">
        <v>1.2</v>
      </c>
      <c r="K43" s="30">
        <v>3.1</v>
      </c>
      <c r="L43" s="18">
        <v>4.3</v>
      </c>
      <c r="M43" s="16"/>
      <c r="N43" s="16"/>
    </row>
    <row r="44" spans="3:14">
      <c r="C44" s="18">
        <f t="shared" si="0"/>
        <v>28</v>
      </c>
      <c r="D44" s="18" t="s">
        <v>71</v>
      </c>
      <c r="E44" s="19">
        <v>63</v>
      </c>
      <c r="F44" s="19" t="s">
        <v>1185</v>
      </c>
      <c r="G44" s="19" t="s">
        <v>1186</v>
      </c>
      <c r="H44" s="29">
        <v>5.9</v>
      </c>
      <c r="I44" s="29" t="s">
        <v>276</v>
      </c>
      <c r="J44" s="18">
        <v>1.2</v>
      </c>
      <c r="K44" s="30">
        <v>3.1</v>
      </c>
      <c r="L44" s="18">
        <v>4.3</v>
      </c>
      <c r="M44" s="16"/>
      <c r="N44" s="16"/>
    </row>
    <row r="45" spans="3:14">
      <c r="C45" s="18">
        <f t="shared" si="0"/>
        <v>29</v>
      </c>
      <c r="D45" s="18" t="s">
        <v>71</v>
      </c>
      <c r="E45" s="19">
        <v>63</v>
      </c>
      <c r="F45" s="19" t="s">
        <v>1186</v>
      </c>
      <c r="G45" s="19" t="s">
        <v>134</v>
      </c>
      <c r="H45" s="29">
        <v>14.1</v>
      </c>
      <c r="I45" s="29" t="s">
        <v>276</v>
      </c>
      <c r="J45" s="18">
        <v>1.2</v>
      </c>
      <c r="K45" s="30">
        <v>3.1</v>
      </c>
      <c r="L45" s="18">
        <v>4.3</v>
      </c>
      <c r="M45" s="16"/>
      <c r="N45" s="16"/>
    </row>
    <row r="46" spans="3:14">
      <c r="C46" s="18">
        <f t="shared" si="0"/>
        <v>30</v>
      </c>
      <c r="D46" s="18" t="s">
        <v>71</v>
      </c>
      <c r="E46" s="19">
        <v>63</v>
      </c>
      <c r="F46" s="19" t="s">
        <v>1186</v>
      </c>
      <c r="G46" s="19" t="s">
        <v>134</v>
      </c>
      <c r="H46" s="29">
        <v>55.9</v>
      </c>
      <c r="I46" s="29" t="s">
        <v>276</v>
      </c>
      <c r="J46" s="18">
        <v>1.2</v>
      </c>
      <c r="K46" s="30">
        <v>3.1</v>
      </c>
      <c r="L46" s="18">
        <v>4.3</v>
      </c>
      <c r="M46" s="16"/>
      <c r="N46" s="16"/>
    </row>
    <row r="47" spans="3:14">
      <c r="C47" s="18">
        <f t="shared" si="0"/>
        <v>31</v>
      </c>
      <c r="D47" s="18" t="s">
        <v>71</v>
      </c>
      <c r="E47" s="19">
        <v>63</v>
      </c>
      <c r="F47" s="19" t="s">
        <v>1186</v>
      </c>
      <c r="G47" s="19" t="s">
        <v>1187</v>
      </c>
      <c r="H47" s="29">
        <v>2.8</v>
      </c>
      <c r="I47" s="29" t="s">
        <v>276</v>
      </c>
      <c r="J47" s="18">
        <v>1.2</v>
      </c>
      <c r="K47" s="30">
        <v>3.1</v>
      </c>
      <c r="L47" s="18">
        <v>4.3</v>
      </c>
      <c r="M47" s="16"/>
      <c r="N47" s="16"/>
    </row>
    <row r="48" spans="3:14">
      <c r="C48" s="18">
        <f t="shared" si="0"/>
        <v>32</v>
      </c>
      <c r="D48" s="18" t="s">
        <v>71</v>
      </c>
      <c r="E48" s="19">
        <v>63</v>
      </c>
      <c r="F48" s="19" t="s">
        <v>1186</v>
      </c>
      <c r="G48" s="19" t="s">
        <v>1187</v>
      </c>
      <c r="H48" s="29">
        <v>57.2</v>
      </c>
      <c r="I48" s="29" t="s">
        <v>276</v>
      </c>
      <c r="J48" s="18">
        <v>1.2</v>
      </c>
      <c r="K48" s="30">
        <v>3.1</v>
      </c>
      <c r="L48" s="18">
        <v>4.3</v>
      </c>
      <c r="M48" s="16"/>
      <c r="N48" s="16"/>
    </row>
    <row r="49" spans="3:14">
      <c r="C49" s="18">
        <f t="shared" si="0"/>
        <v>33</v>
      </c>
      <c r="D49" s="18" t="s">
        <v>71</v>
      </c>
      <c r="E49" s="19">
        <v>63</v>
      </c>
      <c r="F49" s="19" t="s">
        <v>1186</v>
      </c>
      <c r="G49" s="19" t="s">
        <v>246</v>
      </c>
      <c r="H49" s="29">
        <v>115.8</v>
      </c>
      <c r="I49" s="29" t="s">
        <v>276</v>
      </c>
      <c r="J49" s="18">
        <v>1.2</v>
      </c>
      <c r="K49" s="30">
        <v>3.1</v>
      </c>
      <c r="L49" s="18">
        <v>4.3</v>
      </c>
      <c r="M49" s="16"/>
      <c r="N49" s="16"/>
    </row>
    <row r="50" spans="3:14">
      <c r="C50" s="18">
        <f t="shared" si="0"/>
        <v>34</v>
      </c>
      <c r="D50" s="18" t="s">
        <v>71</v>
      </c>
      <c r="E50" s="19">
        <v>63</v>
      </c>
      <c r="F50" s="19" t="s">
        <v>246</v>
      </c>
      <c r="G50" s="19" t="s">
        <v>386</v>
      </c>
      <c r="H50" s="29">
        <v>42.1</v>
      </c>
      <c r="I50" s="29" t="s">
        <v>276</v>
      </c>
      <c r="J50" s="18">
        <v>1.2</v>
      </c>
      <c r="K50" s="30">
        <v>3.1</v>
      </c>
      <c r="L50" s="18">
        <v>4.3</v>
      </c>
      <c r="M50" s="16"/>
      <c r="N50" s="16"/>
    </row>
    <row r="51" spans="3:14">
      <c r="C51" s="18">
        <f t="shared" si="0"/>
        <v>35</v>
      </c>
      <c r="D51" s="18" t="s">
        <v>71</v>
      </c>
      <c r="E51" s="19">
        <v>63</v>
      </c>
      <c r="F51" s="19" t="s">
        <v>246</v>
      </c>
      <c r="G51" s="19" t="s">
        <v>237</v>
      </c>
      <c r="H51" s="29">
        <v>220.1</v>
      </c>
      <c r="I51" s="29" t="s">
        <v>276</v>
      </c>
      <c r="J51" s="18">
        <v>1.2</v>
      </c>
      <c r="K51" s="30">
        <v>3.1</v>
      </c>
      <c r="L51" s="18">
        <v>4.3</v>
      </c>
      <c r="M51" s="16"/>
      <c r="N51" s="16"/>
    </row>
    <row r="52" spans="3:14">
      <c r="C52" s="18">
        <f t="shared" si="0"/>
        <v>36</v>
      </c>
      <c r="D52" s="18" t="s">
        <v>71</v>
      </c>
      <c r="E52" s="19">
        <v>63</v>
      </c>
      <c r="F52" s="19" t="s">
        <v>246</v>
      </c>
      <c r="G52" s="19" t="s">
        <v>237</v>
      </c>
      <c r="H52" s="29">
        <v>9.3000000000000007</v>
      </c>
      <c r="I52" s="29" t="s">
        <v>276</v>
      </c>
      <c r="J52" s="18">
        <v>1.2</v>
      </c>
      <c r="K52" s="30">
        <v>3.1</v>
      </c>
      <c r="L52" s="18">
        <v>4.3</v>
      </c>
      <c r="M52" s="16"/>
      <c r="N52" s="16"/>
    </row>
    <row r="53" spans="3:14">
      <c r="C53" s="18">
        <f t="shared" si="0"/>
        <v>37</v>
      </c>
      <c r="D53" s="18" t="s">
        <v>71</v>
      </c>
      <c r="E53" s="19">
        <v>63</v>
      </c>
      <c r="F53" s="19" t="s">
        <v>246</v>
      </c>
      <c r="G53" s="19" t="s">
        <v>237</v>
      </c>
      <c r="H53" s="29">
        <v>3.8</v>
      </c>
      <c r="I53" s="29" t="s">
        <v>276</v>
      </c>
      <c r="J53" s="18">
        <v>1.2</v>
      </c>
      <c r="K53" s="30">
        <v>3.1</v>
      </c>
      <c r="L53" s="18">
        <v>4.3</v>
      </c>
      <c r="M53" s="16"/>
      <c r="N53" s="16"/>
    </row>
    <row r="54" spans="3:14">
      <c r="C54" s="18">
        <f t="shared" si="0"/>
        <v>38</v>
      </c>
      <c r="D54" s="18" t="s">
        <v>71</v>
      </c>
      <c r="E54" s="19">
        <v>75</v>
      </c>
      <c r="F54" s="19" t="s">
        <v>237</v>
      </c>
      <c r="G54" s="19" t="s">
        <v>793</v>
      </c>
      <c r="H54" s="29">
        <v>99.1</v>
      </c>
      <c r="I54" s="29" t="s">
        <v>276</v>
      </c>
      <c r="J54" s="18">
        <v>1.2</v>
      </c>
      <c r="K54" s="30">
        <v>3.1</v>
      </c>
      <c r="L54" s="18">
        <v>4.3</v>
      </c>
      <c r="M54" s="16"/>
      <c r="N54" s="16"/>
    </row>
    <row r="55" spans="3:14">
      <c r="C55" s="18">
        <f t="shared" ref="C55:C73" si="1">1+C54</f>
        <v>39</v>
      </c>
      <c r="D55" s="18" t="s">
        <v>71</v>
      </c>
      <c r="E55" s="19">
        <v>90</v>
      </c>
      <c r="F55" s="19" t="s">
        <v>237</v>
      </c>
      <c r="G55" s="19" t="s">
        <v>115</v>
      </c>
      <c r="H55" s="29">
        <v>178.5</v>
      </c>
      <c r="I55" s="29" t="s">
        <v>276</v>
      </c>
      <c r="J55" s="18">
        <v>1.2</v>
      </c>
      <c r="K55" s="30">
        <v>3.1</v>
      </c>
      <c r="L55" s="18">
        <v>4.3</v>
      </c>
      <c r="M55" s="16"/>
      <c r="N55" s="16"/>
    </row>
    <row r="56" spans="3:14">
      <c r="C56" s="18">
        <f t="shared" si="1"/>
        <v>40</v>
      </c>
      <c r="D56" s="18" t="s">
        <v>71</v>
      </c>
      <c r="E56" s="19">
        <v>90</v>
      </c>
      <c r="F56" s="19" t="s">
        <v>237</v>
      </c>
      <c r="G56" s="19" t="s">
        <v>115</v>
      </c>
      <c r="H56" s="29">
        <v>8.1999999999999993</v>
      </c>
      <c r="I56" s="29" t="s">
        <v>276</v>
      </c>
      <c r="J56" s="18">
        <v>1.2</v>
      </c>
      <c r="K56" s="30">
        <v>3.1</v>
      </c>
      <c r="L56" s="18">
        <v>4.3</v>
      </c>
      <c r="M56" s="16"/>
      <c r="N56" s="16"/>
    </row>
    <row r="57" spans="3:14">
      <c r="C57" s="18">
        <f t="shared" si="1"/>
        <v>41</v>
      </c>
      <c r="D57" s="18" t="s">
        <v>71</v>
      </c>
      <c r="E57" s="19">
        <v>90</v>
      </c>
      <c r="F57" s="19" t="s">
        <v>115</v>
      </c>
      <c r="G57" s="19" t="s">
        <v>202</v>
      </c>
      <c r="H57" s="29">
        <v>101.1</v>
      </c>
      <c r="I57" s="29" t="s">
        <v>276</v>
      </c>
      <c r="J57" s="18">
        <v>1.2</v>
      </c>
      <c r="K57" s="30">
        <v>3.1</v>
      </c>
      <c r="L57" s="18">
        <v>4.3</v>
      </c>
      <c r="M57" s="16"/>
      <c r="N57" s="16"/>
    </row>
    <row r="58" spans="3:14">
      <c r="C58" s="18">
        <f t="shared" si="1"/>
        <v>42</v>
      </c>
      <c r="D58" s="18" t="s">
        <v>71</v>
      </c>
      <c r="E58" s="19">
        <v>90</v>
      </c>
      <c r="F58" s="19" t="s">
        <v>115</v>
      </c>
      <c r="G58" s="19" t="s">
        <v>202</v>
      </c>
      <c r="H58" s="29">
        <v>93.3</v>
      </c>
      <c r="I58" s="29" t="s">
        <v>276</v>
      </c>
      <c r="J58" s="18">
        <v>1.2</v>
      </c>
      <c r="K58" s="30">
        <v>3.1</v>
      </c>
      <c r="L58" s="18">
        <v>4.3</v>
      </c>
      <c r="M58" s="16"/>
      <c r="N58" s="16"/>
    </row>
    <row r="59" spans="3:14">
      <c r="C59" s="18">
        <f t="shared" si="1"/>
        <v>43</v>
      </c>
      <c r="D59" s="18" t="s">
        <v>71</v>
      </c>
      <c r="E59" s="19">
        <v>90</v>
      </c>
      <c r="F59" s="19" t="s">
        <v>115</v>
      </c>
      <c r="G59" s="19" t="s">
        <v>202</v>
      </c>
      <c r="H59" s="29">
        <v>4</v>
      </c>
      <c r="I59" s="29" t="s">
        <v>276</v>
      </c>
      <c r="J59" s="18">
        <v>1.2</v>
      </c>
      <c r="K59" s="30">
        <v>3.1</v>
      </c>
      <c r="L59" s="18">
        <v>4.3</v>
      </c>
      <c r="M59" s="16"/>
      <c r="N59" s="16"/>
    </row>
    <row r="60" spans="3:14">
      <c r="C60" s="18">
        <f t="shared" si="1"/>
        <v>44</v>
      </c>
      <c r="D60" s="18" t="s">
        <v>71</v>
      </c>
      <c r="E60" s="19">
        <v>110</v>
      </c>
      <c r="F60" s="19" t="s">
        <v>202</v>
      </c>
      <c r="G60" s="19" t="s">
        <v>425</v>
      </c>
      <c r="H60" s="29">
        <v>113.1</v>
      </c>
      <c r="I60" s="29" t="s">
        <v>276</v>
      </c>
      <c r="J60" s="18">
        <v>1.2</v>
      </c>
      <c r="K60" s="30">
        <v>3.1</v>
      </c>
      <c r="L60" s="18">
        <v>4.3</v>
      </c>
      <c r="M60" s="16"/>
      <c r="N60" s="16"/>
    </row>
    <row r="61" spans="3:14">
      <c r="C61" s="18">
        <f t="shared" si="1"/>
        <v>45</v>
      </c>
      <c r="D61" s="18" t="s">
        <v>71</v>
      </c>
      <c r="E61" s="19">
        <v>63</v>
      </c>
      <c r="F61" s="19" t="s">
        <v>793</v>
      </c>
      <c r="G61" s="19" t="s">
        <v>769</v>
      </c>
      <c r="H61" s="29">
        <v>407.1</v>
      </c>
      <c r="I61" s="29" t="s">
        <v>276</v>
      </c>
      <c r="J61" s="18">
        <v>1.2</v>
      </c>
      <c r="K61" s="30">
        <v>3.1</v>
      </c>
      <c r="L61" s="18">
        <v>4.3</v>
      </c>
      <c r="M61" s="16"/>
      <c r="N61" s="16"/>
    </row>
    <row r="62" spans="3:14">
      <c r="C62" s="18">
        <f t="shared" si="1"/>
        <v>46</v>
      </c>
      <c r="D62" s="18" t="s">
        <v>71</v>
      </c>
      <c r="E62" s="19">
        <v>63</v>
      </c>
      <c r="F62" s="19" t="s">
        <v>769</v>
      </c>
      <c r="G62" s="19" t="s">
        <v>382</v>
      </c>
      <c r="H62" s="29">
        <v>39.4</v>
      </c>
      <c r="I62" s="29" t="s">
        <v>276</v>
      </c>
      <c r="J62" s="18">
        <v>1.2</v>
      </c>
      <c r="K62" s="30">
        <v>3.1</v>
      </c>
      <c r="L62" s="18">
        <v>4.3</v>
      </c>
      <c r="M62" s="16"/>
      <c r="N62" s="16"/>
    </row>
    <row r="63" spans="3:14">
      <c r="C63" s="18">
        <f t="shared" si="1"/>
        <v>47</v>
      </c>
      <c r="D63" s="18" t="s">
        <v>71</v>
      </c>
      <c r="E63" s="19">
        <v>63</v>
      </c>
      <c r="F63" s="19" t="s">
        <v>382</v>
      </c>
      <c r="G63" s="19" t="s">
        <v>769</v>
      </c>
      <c r="H63" s="29">
        <v>9.6999999999999993</v>
      </c>
      <c r="I63" s="29" t="s">
        <v>276</v>
      </c>
      <c r="J63" s="18">
        <v>1.2</v>
      </c>
      <c r="K63" s="30">
        <v>3.1</v>
      </c>
      <c r="L63" s="18">
        <v>4.3</v>
      </c>
      <c r="M63" s="16"/>
      <c r="N63" s="16"/>
    </row>
    <row r="64" spans="3:14">
      <c r="C64" s="18">
        <f t="shared" si="1"/>
        <v>48</v>
      </c>
      <c r="D64" s="18" t="s">
        <v>71</v>
      </c>
      <c r="E64" s="19">
        <v>63</v>
      </c>
      <c r="F64" s="19" t="s">
        <v>382</v>
      </c>
      <c r="G64" s="19" t="s">
        <v>314</v>
      </c>
      <c r="H64" s="55">
        <v>60.3</v>
      </c>
      <c r="I64" s="29" t="s">
        <v>276</v>
      </c>
      <c r="J64" s="18">
        <v>1.2</v>
      </c>
      <c r="K64" s="30">
        <v>3.1</v>
      </c>
      <c r="L64" s="18">
        <v>4.3</v>
      </c>
      <c r="M64" s="16"/>
      <c r="N64" s="16"/>
    </row>
    <row r="65" spans="3:14">
      <c r="C65" s="18">
        <f t="shared" si="1"/>
        <v>49</v>
      </c>
      <c r="D65" s="18" t="s">
        <v>71</v>
      </c>
      <c r="E65" s="19">
        <v>63</v>
      </c>
      <c r="F65" s="19" t="s">
        <v>382</v>
      </c>
      <c r="G65" s="19" t="s">
        <v>314</v>
      </c>
      <c r="H65" s="29">
        <v>3.6</v>
      </c>
      <c r="I65" s="29" t="s">
        <v>276</v>
      </c>
      <c r="J65" s="18">
        <v>1.2</v>
      </c>
      <c r="K65" s="30">
        <v>3.1</v>
      </c>
      <c r="L65" s="18">
        <v>4.3</v>
      </c>
      <c r="M65" s="16"/>
      <c r="N65" s="16"/>
    </row>
    <row r="66" spans="3:14">
      <c r="C66" s="18">
        <f t="shared" si="1"/>
        <v>50</v>
      </c>
      <c r="D66" s="18" t="s">
        <v>71</v>
      </c>
      <c r="E66" s="19">
        <v>63</v>
      </c>
      <c r="F66" s="19" t="s">
        <v>314</v>
      </c>
      <c r="G66" s="19" t="s">
        <v>168</v>
      </c>
      <c r="H66" s="29">
        <v>21.6</v>
      </c>
      <c r="I66" s="29" t="s">
        <v>276</v>
      </c>
      <c r="J66" s="18">
        <v>1.2</v>
      </c>
      <c r="K66" s="30">
        <v>3.1</v>
      </c>
      <c r="L66" s="18">
        <v>4.3</v>
      </c>
      <c r="M66" s="16"/>
      <c r="N66" s="16"/>
    </row>
    <row r="67" spans="3:14">
      <c r="C67" s="18">
        <f t="shared" si="1"/>
        <v>51</v>
      </c>
      <c r="D67" s="18" t="s">
        <v>71</v>
      </c>
      <c r="E67" s="19">
        <v>63</v>
      </c>
      <c r="F67" s="19" t="s">
        <v>314</v>
      </c>
      <c r="G67" s="19" t="s">
        <v>754</v>
      </c>
      <c r="H67" s="29">
        <v>64.2</v>
      </c>
      <c r="I67" s="29" t="s">
        <v>276</v>
      </c>
      <c r="J67" s="18">
        <v>1.2</v>
      </c>
      <c r="K67" s="30">
        <v>3.1</v>
      </c>
      <c r="L67" s="18">
        <v>4.3</v>
      </c>
      <c r="M67" s="16"/>
      <c r="N67" s="16"/>
    </row>
    <row r="68" spans="3:14">
      <c r="C68" s="18">
        <f t="shared" si="1"/>
        <v>52</v>
      </c>
      <c r="D68" s="18" t="s">
        <v>71</v>
      </c>
      <c r="E68" s="19">
        <v>63</v>
      </c>
      <c r="F68" s="19" t="s">
        <v>754</v>
      </c>
      <c r="G68" s="19" t="s">
        <v>175</v>
      </c>
      <c r="H68" s="29">
        <v>102</v>
      </c>
      <c r="I68" s="29" t="s">
        <v>276</v>
      </c>
      <c r="J68" s="18">
        <v>1.2</v>
      </c>
      <c r="K68" s="30">
        <v>3.1</v>
      </c>
      <c r="L68" s="18">
        <v>4.3</v>
      </c>
      <c r="M68" s="16"/>
      <c r="N68" s="16"/>
    </row>
    <row r="69" spans="3:14">
      <c r="C69" s="18">
        <f t="shared" si="1"/>
        <v>53</v>
      </c>
      <c r="D69" s="18" t="s">
        <v>71</v>
      </c>
      <c r="E69" s="19">
        <v>63</v>
      </c>
      <c r="F69" s="19" t="s">
        <v>754</v>
      </c>
      <c r="G69" s="19" t="s">
        <v>381</v>
      </c>
      <c r="H69" s="29">
        <v>34.799999999999997</v>
      </c>
      <c r="I69" s="29" t="s">
        <v>276</v>
      </c>
      <c r="J69" s="18">
        <v>1.2</v>
      </c>
      <c r="K69" s="30">
        <v>3.1</v>
      </c>
      <c r="L69" s="18">
        <v>4.3</v>
      </c>
      <c r="M69" s="16"/>
      <c r="N69" s="16"/>
    </row>
    <row r="70" spans="3:14">
      <c r="C70" s="18">
        <f t="shared" si="1"/>
        <v>54</v>
      </c>
      <c r="D70" s="18" t="s">
        <v>71</v>
      </c>
      <c r="E70" s="19">
        <v>63</v>
      </c>
      <c r="F70" s="19" t="s">
        <v>381</v>
      </c>
      <c r="G70" s="19" t="s">
        <v>187</v>
      </c>
      <c r="H70" s="29">
        <v>7.9</v>
      </c>
      <c r="I70" s="29" t="s">
        <v>276</v>
      </c>
      <c r="J70" s="18">
        <v>1.2</v>
      </c>
      <c r="K70" s="30">
        <v>3.1</v>
      </c>
      <c r="L70" s="18">
        <v>4.3</v>
      </c>
      <c r="M70" s="16"/>
      <c r="N70" s="16"/>
    </row>
    <row r="71" spans="3:14">
      <c r="C71" s="18">
        <f t="shared" si="1"/>
        <v>55</v>
      </c>
      <c r="D71" s="18" t="s">
        <v>71</v>
      </c>
      <c r="E71" s="19">
        <v>63</v>
      </c>
      <c r="F71" s="19" t="s">
        <v>381</v>
      </c>
      <c r="G71" s="19" t="s">
        <v>187</v>
      </c>
      <c r="H71" s="29">
        <v>44.5</v>
      </c>
      <c r="I71" s="29" t="s">
        <v>276</v>
      </c>
      <c r="J71" s="18">
        <v>1.2</v>
      </c>
      <c r="K71" s="30">
        <v>3.1</v>
      </c>
      <c r="L71" s="18">
        <v>4.3</v>
      </c>
      <c r="M71" s="16"/>
      <c r="N71" s="16"/>
    </row>
    <row r="72" spans="3:14">
      <c r="C72" s="18">
        <f t="shared" si="1"/>
        <v>56</v>
      </c>
      <c r="D72" s="18" t="s">
        <v>71</v>
      </c>
      <c r="E72" s="19">
        <v>63</v>
      </c>
      <c r="F72" s="19" t="s">
        <v>381</v>
      </c>
      <c r="G72" s="19" t="s">
        <v>382</v>
      </c>
      <c r="H72" s="29">
        <v>19.600000000000001</v>
      </c>
      <c r="I72" s="29" t="s">
        <v>276</v>
      </c>
      <c r="J72" s="18">
        <v>1.2</v>
      </c>
      <c r="K72" s="30">
        <v>3.1</v>
      </c>
      <c r="L72" s="18">
        <v>4.3</v>
      </c>
      <c r="M72" s="16"/>
      <c r="N72" s="16"/>
    </row>
    <row r="73" spans="3:14">
      <c r="C73" s="18">
        <f t="shared" si="1"/>
        <v>57</v>
      </c>
      <c r="D73" s="18" t="s">
        <v>71</v>
      </c>
      <c r="E73" s="19">
        <v>63</v>
      </c>
      <c r="F73" s="19" t="s">
        <v>381</v>
      </c>
      <c r="G73" s="19" t="s">
        <v>382</v>
      </c>
      <c r="H73" s="29">
        <v>22.3</v>
      </c>
      <c r="I73" s="29" t="s">
        <v>276</v>
      </c>
      <c r="J73" s="18">
        <v>1.2</v>
      </c>
      <c r="K73" s="30">
        <v>3.1</v>
      </c>
      <c r="L73" s="18">
        <v>4.3</v>
      </c>
      <c r="M73" s="16"/>
      <c r="N73" s="16"/>
    </row>
    <row r="74" spans="3:14">
      <c r="C74" s="18"/>
      <c r="D74" s="18"/>
      <c r="E74" s="19"/>
      <c r="F74" s="19"/>
      <c r="G74" s="19"/>
      <c r="H74" s="155"/>
      <c r="I74" s="155"/>
      <c r="J74" s="18"/>
      <c r="K74" s="30"/>
      <c r="L74" s="18"/>
      <c r="M74" s="154"/>
      <c r="N74" s="154"/>
    </row>
    <row r="75" spans="3:14">
      <c r="C75" s="18"/>
      <c r="D75" s="18"/>
      <c r="E75" s="19"/>
      <c r="F75" s="19"/>
      <c r="G75" s="19"/>
      <c r="H75" s="29"/>
      <c r="I75" s="29"/>
      <c r="J75" s="18"/>
      <c r="K75" s="30"/>
      <c r="L75" s="18"/>
      <c r="M75" s="16"/>
      <c r="N75" s="16"/>
    </row>
    <row r="76" spans="3:14">
      <c r="C76" s="374"/>
      <c r="D76" s="374"/>
      <c r="E76" s="374"/>
      <c r="F76" s="374"/>
      <c r="G76" s="374"/>
      <c r="H76" s="374"/>
      <c r="I76" s="374"/>
      <c r="J76" s="374"/>
      <c r="K76" s="374"/>
      <c r="L76" s="374"/>
      <c r="M76" s="374"/>
      <c r="N76" s="374"/>
    </row>
    <row r="77" spans="3:14">
      <c r="C77" s="324"/>
      <c r="D77" s="324"/>
      <c r="E77" s="325" t="s">
        <v>86</v>
      </c>
      <c r="F77" s="325"/>
      <c r="G77" s="325"/>
      <c r="H77" s="325"/>
      <c r="I77" s="325" t="s">
        <v>87</v>
      </c>
      <c r="J77" s="325"/>
      <c r="K77" s="325"/>
      <c r="L77" s="325" t="s">
        <v>39</v>
      </c>
      <c r="M77" s="325"/>
      <c r="N77" s="325"/>
    </row>
    <row r="78" spans="3:14">
      <c r="C78" s="295" t="s">
        <v>40</v>
      </c>
      <c r="D78" s="295"/>
      <c r="E78" s="317"/>
      <c r="F78" s="317"/>
      <c r="G78" s="317"/>
      <c r="H78" s="317"/>
      <c r="I78" s="317"/>
      <c r="J78" s="317"/>
      <c r="K78" s="317"/>
      <c r="L78" s="317"/>
      <c r="M78" s="317"/>
      <c r="N78" s="317"/>
    </row>
    <row r="79" spans="3:14">
      <c r="C79" s="295" t="s">
        <v>41</v>
      </c>
      <c r="D79" s="295"/>
      <c r="E79" s="317"/>
      <c r="F79" s="317"/>
      <c r="G79" s="317"/>
      <c r="H79" s="317"/>
      <c r="I79" s="317"/>
      <c r="J79" s="317"/>
      <c r="K79" s="317"/>
      <c r="L79" s="317"/>
      <c r="M79" s="317"/>
      <c r="N79" s="317"/>
    </row>
    <row r="80" spans="3:14">
      <c r="C80" s="295" t="s">
        <v>42</v>
      </c>
      <c r="D80" s="295"/>
      <c r="E80" s="317"/>
      <c r="F80" s="317"/>
      <c r="G80" s="317"/>
      <c r="H80" s="317"/>
      <c r="I80" s="317"/>
      <c r="J80" s="317"/>
      <c r="K80" s="317"/>
      <c r="L80" s="317"/>
      <c r="M80" s="317"/>
      <c r="N80" s="317"/>
    </row>
    <row r="81" spans="3:14">
      <c r="C81" s="295" t="s">
        <v>43</v>
      </c>
      <c r="D81" s="295"/>
      <c r="E81" s="315"/>
      <c r="F81" s="316"/>
      <c r="G81" s="316"/>
      <c r="H81" s="316"/>
      <c r="I81" s="317"/>
      <c r="J81" s="317"/>
      <c r="K81" s="317"/>
      <c r="L81" s="317"/>
      <c r="M81" s="317"/>
      <c r="N81" s="317"/>
    </row>
    <row r="83" spans="3:14">
      <c r="C83" s="206"/>
      <c r="D83" s="211" t="s">
        <v>44</v>
      </c>
      <c r="E83" s="212"/>
      <c r="F83" s="212"/>
      <c r="G83" s="212"/>
      <c r="H83" s="212"/>
      <c r="I83" s="212"/>
      <c r="J83" s="212"/>
      <c r="K83" s="212"/>
      <c r="L83" s="20"/>
      <c r="M83" s="20"/>
      <c r="N83" s="21"/>
    </row>
    <row r="84" spans="3:14">
      <c r="C84" s="207"/>
      <c r="D84" s="214"/>
      <c r="E84" s="215"/>
      <c r="F84" s="215"/>
      <c r="G84" s="215"/>
      <c r="H84" s="215"/>
      <c r="I84" s="215"/>
      <c r="J84" s="215"/>
      <c r="K84" s="215"/>
      <c r="N84" s="22"/>
    </row>
    <row r="85" spans="3:14">
      <c r="C85" s="207"/>
      <c r="D85" s="214"/>
      <c r="E85" s="215"/>
      <c r="F85" s="215"/>
      <c r="G85" s="215"/>
      <c r="H85" s="215"/>
      <c r="I85" s="215"/>
      <c r="J85" s="215"/>
      <c r="K85" s="215"/>
      <c r="N85" s="22"/>
    </row>
    <row r="86" spans="3:14">
      <c r="C86" s="207"/>
      <c r="D86" s="289"/>
      <c r="E86" s="290"/>
      <c r="F86" s="290"/>
      <c r="G86" s="290"/>
      <c r="H86" s="290"/>
      <c r="I86" s="290"/>
      <c r="J86" s="290"/>
      <c r="K86" s="290"/>
      <c r="N86" s="22"/>
    </row>
    <row r="87" spans="3:14" ht="16.5">
      <c r="C87" s="223" t="s">
        <v>45</v>
      </c>
      <c r="D87" s="224"/>
      <c r="E87" s="7" t="s">
        <v>46</v>
      </c>
      <c r="F87" s="8"/>
      <c r="G87" s="8"/>
      <c r="H87" s="8"/>
      <c r="I87" s="8"/>
      <c r="J87" s="8"/>
      <c r="K87" s="8"/>
      <c r="L87" s="8"/>
      <c r="M87" s="8"/>
      <c r="N87" s="23"/>
    </row>
    <row r="88" spans="3:14" ht="16.5">
      <c r="C88" s="223" t="s">
        <v>48</v>
      </c>
      <c r="D88" s="224"/>
      <c r="E88" s="7" t="s">
        <v>49</v>
      </c>
      <c r="F88" s="8"/>
      <c r="G88" s="8"/>
      <c r="H88" s="8"/>
      <c r="I88" s="8"/>
      <c r="J88" s="8"/>
      <c r="K88" s="8"/>
      <c r="L88" s="8"/>
      <c r="M88" s="8"/>
      <c r="N88" s="23"/>
    </row>
    <row r="89" spans="3:14" ht="16.5">
      <c r="C89" s="225" t="s">
        <v>50</v>
      </c>
      <c r="D89" s="226"/>
      <c r="E89" s="7" t="s">
        <v>51</v>
      </c>
      <c r="F89" s="8"/>
      <c r="G89" s="8"/>
      <c r="H89" s="8"/>
      <c r="I89" s="8"/>
      <c r="J89" s="8"/>
      <c r="K89" s="8"/>
      <c r="L89" s="8"/>
      <c r="M89" s="8"/>
      <c r="N89" s="23"/>
    </row>
    <row r="90" spans="3:14" ht="16.5">
      <c r="C90" s="223" t="s">
        <v>52</v>
      </c>
      <c r="D90" s="224"/>
      <c r="E90" s="7" t="s">
        <v>53</v>
      </c>
      <c r="F90" s="8"/>
      <c r="G90" s="8"/>
      <c r="H90" s="8"/>
      <c r="I90" s="8"/>
      <c r="J90" s="8"/>
      <c r="K90" s="8"/>
      <c r="L90" s="8"/>
      <c r="M90" s="8"/>
      <c r="N90" s="23"/>
    </row>
    <row r="91" spans="3:14" ht="15.75">
      <c r="C91" s="227" t="s">
        <v>1182</v>
      </c>
      <c r="D91" s="228"/>
      <c r="E91" s="228"/>
      <c r="F91" s="228"/>
      <c r="G91" s="228"/>
      <c r="H91" s="228"/>
      <c r="I91" s="228"/>
      <c r="J91" s="228"/>
      <c r="K91" s="228"/>
      <c r="L91" s="228"/>
      <c r="M91" s="228"/>
      <c r="N91" s="229"/>
    </row>
    <row r="92" spans="3:14" ht="15.75">
      <c r="C92" s="11" t="s">
        <v>55</v>
      </c>
      <c r="E92" s="12"/>
      <c r="F92" s="12"/>
      <c r="G92" s="12"/>
      <c r="H92" s="12"/>
      <c r="I92" s="24" t="s">
        <v>56</v>
      </c>
      <c r="J92" s="25"/>
      <c r="K92" s="12"/>
      <c r="L92" s="12"/>
      <c r="M92" s="12"/>
      <c r="N92" s="26"/>
    </row>
    <row r="93" spans="3:14">
      <c r="C93" s="217"/>
      <c r="D93" s="218"/>
      <c r="E93" s="218"/>
      <c r="F93" s="218"/>
      <c r="G93" s="218"/>
      <c r="H93" s="218"/>
      <c r="I93" s="218"/>
      <c r="J93" s="218"/>
      <c r="K93" s="218"/>
      <c r="L93" s="218"/>
      <c r="M93" s="218"/>
      <c r="N93" s="219"/>
    </row>
    <row r="94" spans="3:14" ht="15.75">
      <c r="C94" s="15" t="s">
        <v>103</v>
      </c>
      <c r="D94" s="355"/>
      <c r="E94" s="356"/>
      <c r="F94" s="356"/>
      <c r="G94" s="356"/>
      <c r="H94" s="357"/>
      <c r="I94" s="368" t="s">
        <v>542</v>
      </c>
      <c r="J94" s="369"/>
      <c r="K94" s="369"/>
      <c r="L94" s="369"/>
      <c r="M94" s="369"/>
      <c r="N94" s="370"/>
    </row>
    <row r="95" spans="3:14">
      <c r="C95" s="329" t="s">
        <v>59</v>
      </c>
      <c r="D95" s="209" t="s">
        <v>60</v>
      </c>
      <c r="E95" s="209" t="s">
        <v>659</v>
      </c>
      <c r="F95" s="209" t="s">
        <v>62</v>
      </c>
      <c r="G95" s="209" t="s">
        <v>63</v>
      </c>
      <c r="H95" s="209" t="s">
        <v>64</v>
      </c>
      <c r="I95" s="209" t="s">
        <v>65</v>
      </c>
      <c r="J95" s="342" t="s">
        <v>66</v>
      </c>
      <c r="K95" s="343"/>
      <c r="L95" s="344"/>
      <c r="M95" s="209" t="s">
        <v>30</v>
      </c>
      <c r="N95" s="328" t="s">
        <v>67</v>
      </c>
    </row>
    <row r="96" spans="3:14" ht="60">
      <c r="C96" s="359"/>
      <c r="D96" s="292"/>
      <c r="E96" s="292"/>
      <c r="F96" s="292"/>
      <c r="G96" s="292"/>
      <c r="H96" s="292"/>
      <c r="I96" s="292"/>
      <c r="J96" s="17" t="s">
        <v>68</v>
      </c>
      <c r="K96" s="28" t="s">
        <v>999</v>
      </c>
      <c r="L96" s="17" t="s">
        <v>70</v>
      </c>
      <c r="M96" s="292"/>
      <c r="N96" s="360"/>
    </row>
    <row r="97" spans="3:14">
      <c r="C97" s="18">
        <v>1</v>
      </c>
      <c r="D97" s="18" t="s">
        <v>71</v>
      </c>
      <c r="E97" s="19">
        <v>63</v>
      </c>
      <c r="F97" s="19" t="s">
        <v>769</v>
      </c>
      <c r="G97" s="19" t="s">
        <v>235</v>
      </c>
      <c r="H97" s="29">
        <v>156.5</v>
      </c>
      <c r="I97" s="29" t="s">
        <v>1159</v>
      </c>
      <c r="J97" s="18">
        <v>1</v>
      </c>
      <c r="K97" s="30">
        <v>3.1</v>
      </c>
      <c r="L97" s="18">
        <v>4.0999999999999996</v>
      </c>
      <c r="M97" s="16"/>
      <c r="N97" s="16"/>
    </row>
    <row r="98" spans="3:14">
      <c r="C98" s="18">
        <f t="shared" ref="C98:C120" si="2">1+C97</f>
        <v>2</v>
      </c>
      <c r="D98" s="18" t="s">
        <v>71</v>
      </c>
      <c r="E98" s="19">
        <v>63</v>
      </c>
      <c r="F98" s="19" t="s">
        <v>769</v>
      </c>
      <c r="G98" s="19" t="s">
        <v>235</v>
      </c>
      <c r="H98" s="55">
        <v>80.2</v>
      </c>
      <c r="I98" s="29" t="s">
        <v>1159</v>
      </c>
      <c r="J98" s="18">
        <v>1</v>
      </c>
      <c r="K98" s="30">
        <v>3.1</v>
      </c>
      <c r="L98" s="18">
        <v>4.0999999999999996</v>
      </c>
      <c r="M98" s="16"/>
      <c r="N98" s="16"/>
    </row>
    <row r="99" spans="3:14">
      <c r="C99" s="18">
        <f t="shared" si="2"/>
        <v>3</v>
      </c>
      <c r="D99" s="18" t="s">
        <v>71</v>
      </c>
      <c r="E99" s="19">
        <v>63</v>
      </c>
      <c r="F99" s="19" t="s">
        <v>769</v>
      </c>
      <c r="G99" s="19" t="s">
        <v>235</v>
      </c>
      <c r="H99" s="29">
        <v>7.2</v>
      </c>
      <c r="I99" s="29" t="s">
        <v>1159</v>
      </c>
      <c r="J99" s="18">
        <v>1</v>
      </c>
      <c r="K99" s="30">
        <v>3.1</v>
      </c>
      <c r="L99" s="18">
        <v>4.0999999999999996</v>
      </c>
      <c r="M99" s="16"/>
      <c r="N99" s="16"/>
    </row>
    <row r="100" spans="3:14">
      <c r="C100" s="18">
        <f t="shared" si="2"/>
        <v>4</v>
      </c>
      <c r="D100" s="18" t="s">
        <v>71</v>
      </c>
      <c r="E100" s="19">
        <v>63</v>
      </c>
      <c r="F100" s="19" t="s">
        <v>235</v>
      </c>
      <c r="G100" s="19" t="s">
        <v>366</v>
      </c>
      <c r="H100" s="29">
        <v>92</v>
      </c>
      <c r="I100" s="29" t="s">
        <v>1159</v>
      </c>
      <c r="J100" s="18">
        <v>1</v>
      </c>
      <c r="K100" s="30">
        <v>3.1</v>
      </c>
      <c r="L100" s="18">
        <v>4.0999999999999996</v>
      </c>
      <c r="M100" s="16"/>
      <c r="N100" s="16"/>
    </row>
    <row r="101" spans="3:14">
      <c r="C101" s="18">
        <f t="shared" si="2"/>
        <v>5</v>
      </c>
      <c r="D101" s="18" t="s">
        <v>71</v>
      </c>
      <c r="E101" s="19">
        <v>63</v>
      </c>
      <c r="F101" s="19" t="s">
        <v>235</v>
      </c>
      <c r="G101" s="19" t="s">
        <v>366</v>
      </c>
      <c r="H101" s="29">
        <v>22.8</v>
      </c>
      <c r="I101" s="29" t="s">
        <v>1159</v>
      </c>
      <c r="J101" s="18">
        <v>1</v>
      </c>
      <c r="K101" s="30">
        <v>3.1</v>
      </c>
      <c r="L101" s="18">
        <v>4.0999999999999996</v>
      </c>
      <c r="M101" s="16"/>
      <c r="N101" s="16"/>
    </row>
    <row r="102" spans="3:14">
      <c r="C102" s="18">
        <f t="shared" si="2"/>
        <v>6</v>
      </c>
      <c r="D102" s="18" t="s">
        <v>71</v>
      </c>
      <c r="E102" s="19">
        <v>63</v>
      </c>
      <c r="F102" s="19" t="s">
        <v>366</v>
      </c>
      <c r="G102" s="19" t="s">
        <v>620</v>
      </c>
      <c r="H102" s="29">
        <v>21.1</v>
      </c>
      <c r="I102" s="29" t="s">
        <v>1159</v>
      </c>
      <c r="J102" s="18">
        <v>1</v>
      </c>
      <c r="K102" s="30">
        <v>3.1</v>
      </c>
      <c r="L102" s="18">
        <v>4.0999999999999996</v>
      </c>
      <c r="M102" s="16"/>
      <c r="N102" s="16"/>
    </row>
    <row r="103" spans="3:14">
      <c r="C103" s="18">
        <f t="shared" si="2"/>
        <v>7</v>
      </c>
      <c r="D103" s="18" t="s">
        <v>71</v>
      </c>
      <c r="E103" s="19">
        <v>63</v>
      </c>
      <c r="F103" s="19" t="s">
        <v>366</v>
      </c>
      <c r="G103" s="19" t="s">
        <v>620</v>
      </c>
      <c r="H103" s="29">
        <v>28.1</v>
      </c>
      <c r="I103" s="29" t="s">
        <v>1159</v>
      </c>
      <c r="J103" s="18">
        <v>1</v>
      </c>
      <c r="K103" s="30">
        <v>3.1</v>
      </c>
      <c r="L103" s="18">
        <v>4.0999999999999996</v>
      </c>
      <c r="M103" s="16"/>
      <c r="N103" s="16"/>
    </row>
    <row r="104" spans="3:14">
      <c r="C104" s="18">
        <f t="shared" si="2"/>
        <v>8</v>
      </c>
      <c r="D104" s="18" t="s">
        <v>71</v>
      </c>
      <c r="E104" s="19">
        <v>63</v>
      </c>
      <c r="F104" s="19" t="s">
        <v>1188</v>
      </c>
      <c r="G104" s="19" t="s">
        <v>1189</v>
      </c>
      <c r="H104" s="29">
        <v>2.6</v>
      </c>
      <c r="I104" s="29" t="s">
        <v>1159</v>
      </c>
      <c r="J104" s="18">
        <v>1</v>
      </c>
      <c r="K104" s="30">
        <v>3.1</v>
      </c>
      <c r="L104" s="18">
        <v>4.0999999999999996</v>
      </c>
      <c r="M104" s="16"/>
      <c r="N104" s="16"/>
    </row>
    <row r="105" spans="3:14">
      <c r="C105" s="18">
        <f t="shared" si="2"/>
        <v>9</v>
      </c>
      <c r="D105" s="18" t="s">
        <v>71</v>
      </c>
      <c r="E105" s="19">
        <v>63</v>
      </c>
      <c r="F105" s="19" t="s">
        <v>1188</v>
      </c>
      <c r="G105" s="19" t="s">
        <v>1189</v>
      </c>
      <c r="H105" s="29">
        <v>24.6</v>
      </c>
      <c r="I105" s="29" t="s">
        <v>1159</v>
      </c>
      <c r="J105" s="32">
        <v>1</v>
      </c>
      <c r="K105" s="30">
        <v>3.1</v>
      </c>
      <c r="L105" s="32">
        <v>4.0999999999999996</v>
      </c>
      <c r="M105" s="16"/>
      <c r="N105" s="16"/>
    </row>
    <row r="106" spans="3:14">
      <c r="C106" s="18">
        <f t="shared" si="2"/>
        <v>10</v>
      </c>
      <c r="D106" s="18" t="s">
        <v>71</v>
      </c>
      <c r="E106" s="19">
        <v>125</v>
      </c>
      <c r="F106" s="19" t="s">
        <v>1188</v>
      </c>
      <c r="G106" s="19" t="s">
        <v>421</v>
      </c>
      <c r="H106" s="29">
        <v>35.1</v>
      </c>
      <c r="I106" s="29" t="s">
        <v>1159</v>
      </c>
      <c r="J106" s="18">
        <v>1</v>
      </c>
      <c r="K106" s="30">
        <v>3.1</v>
      </c>
      <c r="L106" s="18">
        <v>4.0999999999999996</v>
      </c>
      <c r="M106" s="16"/>
      <c r="N106" s="16"/>
    </row>
    <row r="107" spans="3:14">
      <c r="C107" s="18">
        <f t="shared" si="2"/>
        <v>11</v>
      </c>
      <c r="D107" s="18" t="s">
        <v>71</v>
      </c>
      <c r="E107" s="19">
        <v>125</v>
      </c>
      <c r="F107" s="19" t="s">
        <v>1188</v>
      </c>
      <c r="G107" s="19" t="s">
        <v>421</v>
      </c>
      <c r="H107" s="29">
        <v>4.3</v>
      </c>
      <c r="I107" s="29" t="s">
        <v>1159</v>
      </c>
      <c r="J107" s="18">
        <v>1</v>
      </c>
      <c r="K107" s="30">
        <v>3.1</v>
      </c>
      <c r="L107" s="18">
        <v>4.0999999999999996</v>
      </c>
      <c r="M107" s="16"/>
      <c r="N107" s="16"/>
    </row>
    <row r="108" spans="3:14">
      <c r="C108" s="18">
        <f t="shared" si="2"/>
        <v>12</v>
      </c>
      <c r="D108" s="18" t="s">
        <v>71</v>
      </c>
      <c r="E108" s="19">
        <v>63</v>
      </c>
      <c r="F108" s="19" t="s">
        <v>421</v>
      </c>
      <c r="G108" s="19" t="s">
        <v>149</v>
      </c>
      <c r="H108" s="29">
        <v>25</v>
      </c>
      <c r="I108" s="29" t="s">
        <v>1159</v>
      </c>
      <c r="J108" s="18">
        <v>1</v>
      </c>
      <c r="K108" s="30">
        <v>3.1</v>
      </c>
      <c r="L108" s="18">
        <v>4.0999999999999996</v>
      </c>
      <c r="M108" s="16"/>
      <c r="N108" s="16"/>
    </row>
    <row r="109" spans="3:14">
      <c r="C109" s="18">
        <f t="shared" si="2"/>
        <v>13</v>
      </c>
      <c r="D109" s="18" t="s">
        <v>71</v>
      </c>
      <c r="E109" s="19">
        <v>125</v>
      </c>
      <c r="F109" s="19" t="s">
        <v>421</v>
      </c>
      <c r="G109" s="19" t="s">
        <v>527</v>
      </c>
      <c r="H109" s="29">
        <v>50</v>
      </c>
      <c r="I109" s="29" t="s">
        <v>1159</v>
      </c>
      <c r="J109" s="18">
        <v>1</v>
      </c>
      <c r="K109" s="30">
        <v>3.1</v>
      </c>
      <c r="L109" s="18">
        <v>4.0999999999999996</v>
      </c>
      <c r="M109" s="16"/>
      <c r="N109" s="16"/>
    </row>
    <row r="110" spans="3:14">
      <c r="C110" s="18">
        <f t="shared" si="2"/>
        <v>14</v>
      </c>
      <c r="D110" s="18" t="s">
        <v>71</v>
      </c>
      <c r="E110" s="19">
        <v>63</v>
      </c>
      <c r="F110" s="19" t="s">
        <v>527</v>
      </c>
      <c r="G110" s="19" t="s">
        <v>149</v>
      </c>
      <c r="H110" s="29">
        <v>32.6</v>
      </c>
      <c r="I110" s="29" t="s">
        <v>1159</v>
      </c>
      <c r="J110" s="18">
        <v>1</v>
      </c>
      <c r="K110" s="30">
        <v>3.1</v>
      </c>
      <c r="L110" s="18">
        <v>4.0999999999999996</v>
      </c>
      <c r="M110" s="16"/>
      <c r="N110" s="16"/>
    </row>
    <row r="111" spans="3:14">
      <c r="C111" s="18">
        <f t="shared" si="2"/>
        <v>15</v>
      </c>
      <c r="D111" s="18" t="s">
        <v>71</v>
      </c>
      <c r="E111" s="19">
        <v>125</v>
      </c>
      <c r="F111" s="19" t="s">
        <v>527</v>
      </c>
      <c r="G111" s="19" t="s">
        <v>1190</v>
      </c>
      <c r="H111" s="29">
        <v>20.6</v>
      </c>
      <c r="I111" s="29" t="s">
        <v>1159</v>
      </c>
      <c r="J111" s="18">
        <v>1</v>
      </c>
      <c r="K111" s="30">
        <v>3.1</v>
      </c>
      <c r="L111" s="18">
        <v>4.0999999999999996</v>
      </c>
      <c r="M111" s="16"/>
      <c r="N111" s="16"/>
    </row>
    <row r="112" spans="3:14">
      <c r="C112" s="18">
        <f t="shared" si="2"/>
        <v>16</v>
      </c>
      <c r="D112" s="18" t="s">
        <v>71</v>
      </c>
      <c r="E112" s="19">
        <v>63</v>
      </c>
      <c r="F112" s="19" t="s">
        <v>1190</v>
      </c>
      <c r="G112" s="19" t="s">
        <v>1191</v>
      </c>
      <c r="H112" s="29">
        <v>30</v>
      </c>
      <c r="I112" s="29" t="s">
        <v>1159</v>
      </c>
      <c r="J112" s="18">
        <v>1</v>
      </c>
      <c r="K112" s="30">
        <v>3.1</v>
      </c>
      <c r="L112" s="18">
        <v>4.0999999999999996</v>
      </c>
      <c r="M112" s="16"/>
      <c r="N112" s="16"/>
    </row>
    <row r="113" spans="3:14">
      <c r="C113" s="18">
        <f t="shared" si="2"/>
        <v>17</v>
      </c>
      <c r="D113" s="18" t="s">
        <v>71</v>
      </c>
      <c r="E113" s="19">
        <v>125</v>
      </c>
      <c r="F113" s="19" t="s">
        <v>1190</v>
      </c>
      <c r="G113" s="19" t="s">
        <v>1192</v>
      </c>
      <c r="H113" s="29">
        <v>15.8</v>
      </c>
      <c r="I113" s="29" t="s">
        <v>1159</v>
      </c>
      <c r="J113" s="18">
        <v>1</v>
      </c>
      <c r="K113" s="30">
        <v>3.1</v>
      </c>
      <c r="L113" s="18">
        <v>4.0999999999999996</v>
      </c>
      <c r="M113" s="16"/>
      <c r="N113" s="16"/>
    </row>
    <row r="114" spans="3:14">
      <c r="C114" s="18">
        <f t="shared" si="2"/>
        <v>18</v>
      </c>
      <c r="D114" s="18" t="s">
        <v>71</v>
      </c>
      <c r="E114" s="19">
        <v>63</v>
      </c>
      <c r="F114" s="19" t="s">
        <v>1192</v>
      </c>
      <c r="G114" s="19" t="s">
        <v>1193</v>
      </c>
      <c r="H114" s="29">
        <v>47.3</v>
      </c>
      <c r="I114" s="29" t="s">
        <v>1159</v>
      </c>
      <c r="J114" s="18">
        <v>1</v>
      </c>
      <c r="K114" s="30">
        <v>3.1</v>
      </c>
      <c r="L114" s="18">
        <v>4.0999999999999996</v>
      </c>
      <c r="M114" s="16"/>
      <c r="N114" s="16"/>
    </row>
    <row r="115" spans="3:14">
      <c r="C115" s="18">
        <f t="shared" si="2"/>
        <v>19</v>
      </c>
      <c r="D115" s="18" t="s">
        <v>71</v>
      </c>
      <c r="E115" s="19">
        <v>110</v>
      </c>
      <c r="F115" s="19" t="s">
        <v>708</v>
      </c>
      <c r="G115" s="19" t="s">
        <v>194</v>
      </c>
      <c r="H115" s="29">
        <v>45.6</v>
      </c>
      <c r="I115" s="29" t="s">
        <v>1159</v>
      </c>
      <c r="J115" s="18">
        <v>1</v>
      </c>
      <c r="K115" s="30">
        <v>3.1</v>
      </c>
      <c r="L115" s="18">
        <v>4.0999999999999996</v>
      </c>
      <c r="M115" s="16"/>
      <c r="N115" s="16"/>
    </row>
    <row r="116" spans="3:14">
      <c r="C116" s="18">
        <f t="shared" si="2"/>
        <v>20</v>
      </c>
      <c r="D116" s="18" t="s">
        <v>71</v>
      </c>
      <c r="E116" s="19">
        <v>110</v>
      </c>
      <c r="F116" s="19" t="s">
        <v>708</v>
      </c>
      <c r="G116" s="19" t="s">
        <v>194</v>
      </c>
      <c r="H116" s="29">
        <v>3.3</v>
      </c>
      <c r="I116" s="29" t="s">
        <v>1159</v>
      </c>
      <c r="J116" s="18">
        <v>1</v>
      </c>
      <c r="K116" s="30">
        <v>3.1</v>
      </c>
      <c r="L116" s="18">
        <v>4.0999999999999996</v>
      </c>
      <c r="M116" s="16"/>
      <c r="N116" s="16"/>
    </row>
    <row r="117" spans="3:14">
      <c r="C117" s="18">
        <f t="shared" si="2"/>
        <v>21</v>
      </c>
      <c r="D117" s="18" t="s">
        <v>71</v>
      </c>
      <c r="E117" s="19">
        <v>63</v>
      </c>
      <c r="F117" s="19" t="s">
        <v>149</v>
      </c>
      <c r="G117" s="19" t="s">
        <v>402</v>
      </c>
      <c r="H117" s="29">
        <v>66.3</v>
      </c>
      <c r="I117" s="29" t="s">
        <v>1159</v>
      </c>
      <c r="J117" s="18">
        <v>1</v>
      </c>
      <c r="K117" s="30">
        <v>3.1</v>
      </c>
      <c r="L117" s="18">
        <v>4.0999999999999996</v>
      </c>
      <c r="M117" s="16"/>
      <c r="N117" s="16"/>
    </row>
    <row r="118" spans="3:14">
      <c r="C118" s="18">
        <f t="shared" si="2"/>
        <v>22</v>
      </c>
      <c r="D118" s="18" t="s">
        <v>71</v>
      </c>
      <c r="E118" s="19">
        <v>63</v>
      </c>
      <c r="F118" s="19" t="s">
        <v>402</v>
      </c>
      <c r="G118" s="19" t="s">
        <v>150</v>
      </c>
      <c r="H118" s="29">
        <v>83.8</v>
      </c>
      <c r="I118" s="29" t="s">
        <v>1159</v>
      </c>
      <c r="J118" s="18">
        <v>1</v>
      </c>
      <c r="K118" s="30">
        <v>3.1</v>
      </c>
      <c r="L118" s="18">
        <v>4.0999999999999996</v>
      </c>
      <c r="M118" s="16"/>
      <c r="N118" s="16"/>
    </row>
    <row r="119" spans="3:14">
      <c r="C119" s="18">
        <f t="shared" si="2"/>
        <v>23</v>
      </c>
      <c r="D119" s="18" t="s">
        <v>71</v>
      </c>
      <c r="E119" s="19">
        <v>63</v>
      </c>
      <c r="F119" s="19" t="s">
        <v>402</v>
      </c>
      <c r="G119" s="19" t="s">
        <v>1194</v>
      </c>
      <c r="H119" s="29">
        <v>12.3</v>
      </c>
      <c r="I119" s="29" t="s">
        <v>1159</v>
      </c>
      <c r="J119" s="18">
        <v>1</v>
      </c>
      <c r="K119" s="30">
        <v>3.1</v>
      </c>
      <c r="L119" s="18">
        <v>4.0999999999999996</v>
      </c>
      <c r="M119" s="16"/>
      <c r="N119" s="16"/>
    </row>
    <row r="120" spans="3:14">
      <c r="C120" s="18">
        <f t="shared" si="2"/>
        <v>24</v>
      </c>
      <c r="D120" s="18" t="s">
        <v>71</v>
      </c>
      <c r="E120" s="19">
        <v>63</v>
      </c>
      <c r="F120" s="19" t="s">
        <v>153</v>
      </c>
      <c r="G120" s="19" t="s">
        <v>215</v>
      </c>
      <c r="H120" s="29">
        <v>103.9</v>
      </c>
      <c r="I120" s="29" t="s">
        <v>1159</v>
      </c>
      <c r="J120" s="18">
        <v>1</v>
      </c>
      <c r="K120" s="30">
        <v>3.1</v>
      </c>
      <c r="L120" s="18">
        <v>4.0999999999999996</v>
      </c>
      <c r="M120" s="16"/>
      <c r="N120" s="16"/>
    </row>
    <row r="121" spans="3:14">
      <c r="C121" s="18">
        <f t="shared" ref="C121:C144" si="3">1+C120</f>
        <v>25</v>
      </c>
      <c r="D121" s="18" t="s">
        <v>71</v>
      </c>
      <c r="E121" s="19">
        <v>63</v>
      </c>
      <c r="F121" s="19" t="s">
        <v>153</v>
      </c>
      <c r="G121" s="19" t="s">
        <v>236</v>
      </c>
      <c r="H121" s="29">
        <v>33.5</v>
      </c>
      <c r="I121" s="29" t="s">
        <v>1159</v>
      </c>
      <c r="J121" s="18">
        <v>1</v>
      </c>
      <c r="K121" s="30">
        <v>3.1</v>
      </c>
      <c r="L121" s="18">
        <v>4.0999999999999996</v>
      </c>
      <c r="M121" s="16"/>
      <c r="N121" s="16"/>
    </row>
    <row r="122" spans="3:14">
      <c r="C122" s="18">
        <f t="shared" si="3"/>
        <v>26</v>
      </c>
      <c r="D122" s="18" t="s">
        <v>71</v>
      </c>
      <c r="E122" s="19">
        <v>63</v>
      </c>
      <c r="F122" s="19" t="s">
        <v>236</v>
      </c>
      <c r="G122" s="19" t="s">
        <v>1195</v>
      </c>
      <c r="H122" s="29">
        <v>22.3</v>
      </c>
      <c r="I122" s="29" t="s">
        <v>1159</v>
      </c>
      <c r="J122" s="18">
        <v>1</v>
      </c>
      <c r="K122" s="30">
        <v>3.1</v>
      </c>
      <c r="L122" s="18">
        <v>4.0999999999999996</v>
      </c>
      <c r="M122" s="16"/>
      <c r="N122" s="16"/>
    </row>
    <row r="123" spans="3:14">
      <c r="C123" s="18">
        <f t="shared" si="3"/>
        <v>27</v>
      </c>
      <c r="D123" s="18" t="s">
        <v>71</v>
      </c>
      <c r="E123" s="19">
        <v>63</v>
      </c>
      <c r="F123" s="19" t="s">
        <v>1195</v>
      </c>
      <c r="G123" s="19" t="s">
        <v>1196</v>
      </c>
      <c r="H123" s="29">
        <v>24.3</v>
      </c>
      <c r="I123" s="29" t="s">
        <v>1159</v>
      </c>
      <c r="J123" s="18">
        <v>1</v>
      </c>
      <c r="K123" s="30">
        <v>3.1</v>
      </c>
      <c r="L123" s="18">
        <v>4.0999999999999996</v>
      </c>
      <c r="M123" s="16"/>
      <c r="N123" s="16"/>
    </row>
    <row r="124" spans="3:14">
      <c r="C124" s="18">
        <f t="shared" si="3"/>
        <v>28</v>
      </c>
      <c r="D124" s="18" t="s">
        <v>71</v>
      </c>
      <c r="E124" s="19">
        <v>63</v>
      </c>
      <c r="F124" s="19" t="s">
        <v>1195</v>
      </c>
      <c r="G124" s="19" t="s">
        <v>409</v>
      </c>
      <c r="H124" s="29">
        <v>27.1</v>
      </c>
      <c r="I124" s="29" t="s">
        <v>1159</v>
      </c>
      <c r="J124" s="18">
        <v>1</v>
      </c>
      <c r="K124" s="30">
        <v>3.1</v>
      </c>
      <c r="L124" s="18">
        <v>4.0999999999999996</v>
      </c>
      <c r="M124" s="16"/>
      <c r="N124" s="16"/>
    </row>
    <row r="125" spans="3:14">
      <c r="C125" s="18">
        <f t="shared" si="3"/>
        <v>29</v>
      </c>
      <c r="D125" s="18" t="s">
        <v>71</v>
      </c>
      <c r="E125" s="19">
        <v>63</v>
      </c>
      <c r="F125" s="19" t="s">
        <v>1195</v>
      </c>
      <c r="G125" s="19" t="s">
        <v>409</v>
      </c>
      <c r="H125" s="29">
        <v>7.5</v>
      </c>
      <c r="I125" s="29" t="s">
        <v>1159</v>
      </c>
      <c r="J125" s="18">
        <v>1</v>
      </c>
      <c r="K125" s="30">
        <v>3.1</v>
      </c>
      <c r="L125" s="18">
        <v>4.0999999999999996</v>
      </c>
      <c r="M125" s="16"/>
      <c r="N125" s="16"/>
    </row>
    <row r="126" spans="3:14">
      <c r="C126" s="18">
        <f t="shared" si="3"/>
        <v>30</v>
      </c>
      <c r="D126" s="18" t="s">
        <v>71</v>
      </c>
      <c r="E126" s="19">
        <v>63</v>
      </c>
      <c r="F126" s="19" t="s">
        <v>236</v>
      </c>
      <c r="G126" s="19" t="s">
        <v>135</v>
      </c>
      <c r="H126" s="29">
        <v>55.6</v>
      </c>
      <c r="I126" s="29" t="s">
        <v>1159</v>
      </c>
      <c r="J126" s="18">
        <v>1</v>
      </c>
      <c r="K126" s="30">
        <v>3.1</v>
      </c>
      <c r="L126" s="18">
        <v>4.0999999999999996</v>
      </c>
      <c r="M126" s="16"/>
      <c r="N126" s="16"/>
    </row>
    <row r="127" spans="3:14">
      <c r="C127" s="18">
        <f t="shared" si="3"/>
        <v>31</v>
      </c>
      <c r="D127" s="18" t="s">
        <v>71</v>
      </c>
      <c r="E127" s="19">
        <v>63</v>
      </c>
      <c r="F127" s="19" t="s">
        <v>135</v>
      </c>
      <c r="G127" s="19" t="s">
        <v>403</v>
      </c>
      <c r="H127" s="29">
        <v>56.3</v>
      </c>
      <c r="I127" s="29" t="s">
        <v>1159</v>
      </c>
      <c r="J127" s="18">
        <v>1</v>
      </c>
      <c r="K127" s="30">
        <v>3.1</v>
      </c>
      <c r="L127" s="18">
        <v>4.0999999999999996</v>
      </c>
      <c r="M127" s="16"/>
      <c r="N127" s="16"/>
    </row>
    <row r="128" spans="3:14">
      <c r="C128" s="18">
        <f t="shared" si="3"/>
        <v>32</v>
      </c>
      <c r="D128" s="18" t="s">
        <v>71</v>
      </c>
      <c r="E128" s="19">
        <v>63</v>
      </c>
      <c r="F128" s="19" t="s">
        <v>403</v>
      </c>
      <c r="G128" s="19" t="s">
        <v>1197</v>
      </c>
      <c r="H128" s="29">
        <v>54.1</v>
      </c>
      <c r="I128" s="29" t="s">
        <v>1159</v>
      </c>
      <c r="J128" s="18">
        <v>1</v>
      </c>
      <c r="K128" s="30">
        <v>3.1</v>
      </c>
      <c r="L128" s="18">
        <v>4.0999999999999996</v>
      </c>
      <c r="M128" s="16"/>
      <c r="N128" s="16"/>
    </row>
    <row r="129" spans="3:14">
      <c r="C129" s="18">
        <f t="shared" si="3"/>
        <v>33</v>
      </c>
      <c r="D129" s="18" t="s">
        <v>71</v>
      </c>
      <c r="E129" s="19">
        <v>63</v>
      </c>
      <c r="F129" s="19" t="s">
        <v>506</v>
      </c>
      <c r="G129" s="19" t="s">
        <v>202</v>
      </c>
      <c r="H129" s="29">
        <v>169</v>
      </c>
      <c r="I129" s="29" t="s">
        <v>1159</v>
      </c>
      <c r="J129" s="18">
        <v>1</v>
      </c>
      <c r="K129" s="30">
        <v>3.1</v>
      </c>
      <c r="L129" s="18">
        <v>4.0999999999999996</v>
      </c>
      <c r="M129" s="16"/>
      <c r="N129" s="16"/>
    </row>
    <row r="130" spans="3:14">
      <c r="C130" s="18">
        <f t="shared" si="3"/>
        <v>34</v>
      </c>
      <c r="D130" s="18" t="s">
        <v>71</v>
      </c>
      <c r="E130" s="19">
        <v>63</v>
      </c>
      <c r="F130" s="19" t="s">
        <v>506</v>
      </c>
      <c r="G130" s="19" t="s">
        <v>202</v>
      </c>
      <c r="H130" s="29">
        <v>26.1</v>
      </c>
      <c r="I130" s="29" t="s">
        <v>1159</v>
      </c>
      <c r="J130" s="18">
        <v>1</v>
      </c>
      <c r="K130" s="30">
        <v>3.1</v>
      </c>
      <c r="L130" s="18">
        <v>4.0999999999999996</v>
      </c>
      <c r="M130" s="16"/>
      <c r="N130" s="16"/>
    </row>
    <row r="131" spans="3:14">
      <c r="C131" s="18">
        <f t="shared" si="3"/>
        <v>35</v>
      </c>
      <c r="D131" s="18" t="s">
        <v>71</v>
      </c>
      <c r="E131" s="19">
        <v>63</v>
      </c>
      <c r="F131" s="19" t="s">
        <v>134</v>
      </c>
      <c r="G131" s="19" t="s">
        <v>217</v>
      </c>
      <c r="H131" s="29">
        <v>122.3</v>
      </c>
      <c r="I131" s="29" t="s">
        <v>1159</v>
      </c>
      <c r="J131" s="18">
        <v>1</v>
      </c>
      <c r="K131" s="30">
        <v>3.1</v>
      </c>
      <c r="L131" s="18">
        <v>4.0999999999999996</v>
      </c>
      <c r="M131" s="16"/>
      <c r="N131" s="16"/>
    </row>
    <row r="132" spans="3:14">
      <c r="C132" s="18">
        <f t="shared" si="3"/>
        <v>36</v>
      </c>
      <c r="D132" s="18" t="s">
        <v>71</v>
      </c>
      <c r="E132" s="19">
        <v>75</v>
      </c>
      <c r="F132" s="19" t="s">
        <v>793</v>
      </c>
      <c r="G132" s="19" t="s">
        <v>123</v>
      </c>
      <c r="H132" s="29">
        <v>135.69999999999999</v>
      </c>
      <c r="I132" s="29" t="s">
        <v>1159</v>
      </c>
      <c r="J132" s="18">
        <v>1</v>
      </c>
      <c r="K132" s="30">
        <v>3.1</v>
      </c>
      <c r="L132" s="18">
        <v>4.0999999999999996</v>
      </c>
      <c r="M132" s="16"/>
      <c r="N132" s="16"/>
    </row>
    <row r="133" spans="3:14">
      <c r="C133" s="18">
        <f t="shared" si="3"/>
        <v>37</v>
      </c>
      <c r="D133" s="18" t="s">
        <v>71</v>
      </c>
      <c r="E133" s="19">
        <v>63</v>
      </c>
      <c r="F133" s="19" t="s">
        <v>123</v>
      </c>
      <c r="G133" s="19" t="s">
        <v>479</v>
      </c>
      <c r="H133" s="29">
        <v>158.30000000000001</v>
      </c>
      <c r="I133" s="29" t="s">
        <v>1159</v>
      </c>
      <c r="J133" s="18">
        <v>1</v>
      </c>
      <c r="K133" s="30">
        <v>3.1</v>
      </c>
      <c r="L133" s="18">
        <v>4.0999999999999996</v>
      </c>
      <c r="M133" s="16"/>
      <c r="N133" s="16"/>
    </row>
    <row r="134" spans="3:14">
      <c r="C134" s="18">
        <f t="shared" si="3"/>
        <v>38</v>
      </c>
      <c r="D134" s="18" t="s">
        <v>71</v>
      </c>
      <c r="E134" s="19">
        <v>63</v>
      </c>
      <c r="F134" s="19" t="s">
        <v>123</v>
      </c>
      <c r="G134" s="19" t="s">
        <v>183</v>
      </c>
      <c r="H134" s="29">
        <v>96.6</v>
      </c>
      <c r="I134" s="29" t="s">
        <v>1159</v>
      </c>
      <c r="J134" s="18">
        <v>1</v>
      </c>
      <c r="K134" s="30">
        <v>3.1</v>
      </c>
      <c r="L134" s="18">
        <v>4.0999999999999996</v>
      </c>
      <c r="M134" s="16"/>
      <c r="N134" s="16"/>
    </row>
    <row r="135" spans="3:14">
      <c r="C135" s="18">
        <f t="shared" si="3"/>
        <v>39</v>
      </c>
      <c r="D135" s="18" t="s">
        <v>71</v>
      </c>
      <c r="E135" s="19">
        <v>63</v>
      </c>
      <c r="F135" s="19" t="s">
        <v>183</v>
      </c>
      <c r="G135" s="19" t="s">
        <v>305</v>
      </c>
      <c r="H135" s="29">
        <v>4.8</v>
      </c>
      <c r="I135" s="29" t="s">
        <v>1159</v>
      </c>
      <c r="J135" s="18">
        <v>1</v>
      </c>
      <c r="K135" s="30">
        <v>3.1</v>
      </c>
      <c r="L135" s="18">
        <v>4.0999999999999996</v>
      </c>
      <c r="M135" s="16"/>
      <c r="N135" s="16"/>
    </row>
    <row r="136" spans="3:14">
      <c r="C136" s="18">
        <f t="shared" si="3"/>
        <v>40</v>
      </c>
      <c r="D136" s="18" t="s">
        <v>71</v>
      </c>
      <c r="E136" s="19">
        <v>63</v>
      </c>
      <c r="F136" s="19" t="s">
        <v>183</v>
      </c>
      <c r="G136" s="19" t="s">
        <v>305</v>
      </c>
      <c r="H136" s="29">
        <v>180.1</v>
      </c>
      <c r="I136" s="29" t="s">
        <v>1159</v>
      </c>
      <c r="J136" s="18">
        <v>1</v>
      </c>
      <c r="K136" s="30">
        <v>3.1</v>
      </c>
      <c r="L136" s="18">
        <v>4.0999999999999996</v>
      </c>
      <c r="M136" s="16"/>
      <c r="N136" s="16"/>
    </row>
    <row r="137" spans="3:14">
      <c r="C137" s="18">
        <f t="shared" si="3"/>
        <v>41</v>
      </c>
      <c r="D137" s="18" t="s">
        <v>71</v>
      </c>
      <c r="E137" s="19">
        <v>63</v>
      </c>
      <c r="F137" s="19" t="s">
        <v>183</v>
      </c>
      <c r="G137" s="19" t="s">
        <v>366</v>
      </c>
      <c r="H137" s="29">
        <v>56.1</v>
      </c>
      <c r="I137" s="29" t="s">
        <v>1159</v>
      </c>
      <c r="J137" s="18">
        <v>1</v>
      </c>
      <c r="K137" s="30">
        <v>3.1</v>
      </c>
      <c r="L137" s="18">
        <v>4.0999999999999996</v>
      </c>
      <c r="M137" s="16"/>
      <c r="N137" s="16"/>
    </row>
    <row r="138" spans="3:14">
      <c r="C138" s="18">
        <f t="shared" si="3"/>
        <v>42</v>
      </c>
      <c r="D138" s="18" t="s">
        <v>71</v>
      </c>
      <c r="E138" s="19">
        <v>90</v>
      </c>
      <c r="F138" s="19" t="s">
        <v>202</v>
      </c>
      <c r="G138" s="19" t="s">
        <v>195</v>
      </c>
      <c r="H138" s="29">
        <v>390.1</v>
      </c>
      <c r="I138" s="29" t="s">
        <v>1159</v>
      </c>
      <c r="J138" s="18">
        <v>1</v>
      </c>
      <c r="K138" s="30">
        <v>3.1</v>
      </c>
      <c r="L138" s="18">
        <v>4.0999999999999996</v>
      </c>
      <c r="M138" s="16"/>
      <c r="N138" s="16"/>
    </row>
    <row r="139" spans="3:14">
      <c r="C139" s="18">
        <f t="shared" si="3"/>
        <v>43</v>
      </c>
      <c r="D139" s="18" t="s">
        <v>71</v>
      </c>
      <c r="E139" s="19">
        <v>90</v>
      </c>
      <c r="F139" s="19" t="s">
        <v>202</v>
      </c>
      <c r="G139" s="19" t="s">
        <v>195</v>
      </c>
      <c r="H139" s="29">
        <v>4.5999999999999996</v>
      </c>
      <c r="I139" s="29" t="s">
        <v>1159</v>
      </c>
      <c r="J139" s="18">
        <v>1</v>
      </c>
      <c r="K139" s="30">
        <v>3.1</v>
      </c>
      <c r="L139" s="18">
        <v>4.0999999999999996</v>
      </c>
      <c r="M139" s="16"/>
      <c r="N139" s="16"/>
    </row>
    <row r="140" spans="3:14">
      <c r="C140" s="18">
        <f t="shared" si="3"/>
        <v>44</v>
      </c>
      <c r="D140" s="18" t="s">
        <v>71</v>
      </c>
      <c r="E140" s="19">
        <v>90</v>
      </c>
      <c r="F140" s="19" t="s">
        <v>195</v>
      </c>
      <c r="G140" s="19" t="s">
        <v>287</v>
      </c>
      <c r="H140" s="29">
        <v>120.1</v>
      </c>
      <c r="I140" s="29" t="s">
        <v>1159</v>
      </c>
      <c r="J140" s="18">
        <v>1</v>
      </c>
      <c r="K140" s="30">
        <v>3.1</v>
      </c>
      <c r="L140" s="18">
        <v>4.0999999999999996</v>
      </c>
      <c r="M140" s="16"/>
      <c r="N140" s="16"/>
    </row>
    <row r="141" spans="3:14">
      <c r="C141" s="18">
        <f t="shared" si="3"/>
        <v>45</v>
      </c>
      <c r="D141" s="18" t="s">
        <v>71</v>
      </c>
      <c r="E141" s="19">
        <v>90</v>
      </c>
      <c r="F141" s="19" t="s">
        <v>195</v>
      </c>
      <c r="G141" s="19" t="s">
        <v>287</v>
      </c>
      <c r="H141" s="29">
        <v>9.3000000000000007</v>
      </c>
      <c r="I141" s="29" t="s">
        <v>1159</v>
      </c>
      <c r="J141" s="18">
        <v>1</v>
      </c>
      <c r="K141" s="30">
        <v>3.1</v>
      </c>
      <c r="L141" s="18">
        <v>4.0999999999999996</v>
      </c>
      <c r="M141" s="16"/>
      <c r="N141" s="16"/>
    </row>
    <row r="142" spans="3:14">
      <c r="C142" s="18">
        <f t="shared" si="3"/>
        <v>46</v>
      </c>
      <c r="D142" s="18" t="s">
        <v>71</v>
      </c>
      <c r="E142" s="19">
        <v>90</v>
      </c>
      <c r="F142" s="19" t="s">
        <v>195</v>
      </c>
      <c r="G142" s="19" t="s">
        <v>287</v>
      </c>
      <c r="H142" s="29">
        <v>10.5</v>
      </c>
      <c r="I142" s="29" t="s">
        <v>1159</v>
      </c>
      <c r="J142" s="18">
        <v>1</v>
      </c>
      <c r="K142" s="30">
        <v>3.1</v>
      </c>
      <c r="L142" s="18">
        <v>4.0999999999999996</v>
      </c>
      <c r="M142" s="16"/>
      <c r="N142" s="16"/>
    </row>
    <row r="143" spans="3:14">
      <c r="C143" s="18">
        <f t="shared" si="3"/>
        <v>47</v>
      </c>
      <c r="D143" s="18" t="s">
        <v>71</v>
      </c>
      <c r="E143" s="19">
        <v>90</v>
      </c>
      <c r="F143" s="19" t="s">
        <v>195</v>
      </c>
      <c r="G143" s="19" t="s">
        <v>287</v>
      </c>
      <c r="H143" s="29">
        <v>5.8</v>
      </c>
      <c r="I143" s="29" t="s">
        <v>1159</v>
      </c>
      <c r="J143" s="18">
        <v>1</v>
      </c>
      <c r="K143" s="30">
        <v>3.1</v>
      </c>
      <c r="L143" s="18">
        <v>4.0999999999999996</v>
      </c>
      <c r="M143" s="16"/>
      <c r="N143" s="16"/>
    </row>
    <row r="144" spans="3:14">
      <c r="C144" s="18">
        <f t="shared" si="3"/>
        <v>48</v>
      </c>
      <c r="D144" s="18" t="s">
        <v>71</v>
      </c>
      <c r="E144" s="19">
        <v>63</v>
      </c>
      <c r="F144" s="19" t="s">
        <v>287</v>
      </c>
      <c r="G144" s="19" t="s">
        <v>223</v>
      </c>
      <c r="H144" s="29">
        <v>124.7</v>
      </c>
      <c r="I144" s="29" t="s">
        <v>1159</v>
      </c>
      <c r="J144" s="18">
        <v>1</v>
      </c>
      <c r="K144" s="30">
        <v>3.1</v>
      </c>
      <c r="L144" s="18">
        <v>4.0999999999999996</v>
      </c>
      <c r="M144" s="16"/>
      <c r="N144" s="16"/>
    </row>
    <row r="145" spans="3:14">
      <c r="C145" s="18"/>
      <c r="D145" s="18"/>
      <c r="E145" s="19"/>
      <c r="F145" s="19"/>
      <c r="G145" s="19"/>
      <c r="H145" s="155"/>
      <c r="I145" s="155"/>
      <c r="J145" s="18"/>
      <c r="K145" s="30"/>
      <c r="L145" s="18"/>
      <c r="M145" s="154"/>
      <c r="N145" s="154"/>
    </row>
    <row r="146" spans="3:14">
      <c r="C146" s="18"/>
      <c r="D146" s="18"/>
      <c r="E146" s="19"/>
      <c r="F146" s="19"/>
      <c r="G146" s="19"/>
      <c r="H146" s="19"/>
      <c r="I146" s="29"/>
      <c r="J146" s="18"/>
      <c r="K146" s="30"/>
      <c r="L146" s="18"/>
      <c r="M146" s="16"/>
      <c r="N146" s="16"/>
    </row>
    <row r="147" spans="3:14">
      <c r="C147" s="374"/>
      <c r="D147" s="374"/>
      <c r="E147" s="374"/>
      <c r="F147" s="374"/>
      <c r="G147" s="374"/>
      <c r="H147" s="374"/>
      <c r="I147" s="374"/>
      <c r="J147" s="374"/>
      <c r="K147" s="374"/>
      <c r="L147" s="374"/>
      <c r="M147" s="374"/>
      <c r="N147" s="374"/>
    </row>
    <row r="148" spans="3:14">
      <c r="C148" s="324"/>
      <c r="D148" s="324"/>
      <c r="E148" s="325" t="s">
        <v>86</v>
      </c>
      <c r="F148" s="325"/>
      <c r="G148" s="325"/>
      <c r="H148" s="325"/>
      <c r="I148" s="325" t="s">
        <v>87</v>
      </c>
      <c r="J148" s="325"/>
      <c r="K148" s="325"/>
      <c r="L148" s="325" t="s">
        <v>39</v>
      </c>
      <c r="M148" s="325"/>
      <c r="N148" s="325"/>
    </row>
    <row r="149" spans="3:14">
      <c r="C149" s="295" t="s">
        <v>40</v>
      </c>
      <c r="D149" s="295"/>
      <c r="E149" s="317"/>
      <c r="F149" s="317"/>
      <c r="G149" s="317"/>
      <c r="H149" s="317"/>
      <c r="I149" s="317"/>
      <c r="J149" s="317"/>
      <c r="K149" s="317"/>
      <c r="L149" s="317"/>
      <c r="M149" s="317"/>
      <c r="N149" s="317"/>
    </row>
    <row r="150" spans="3:14">
      <c r="C150" s="295" t="s">
        <v>41</v>
      </c>
      <c r="D150" s="295"/>
      <c r="E150" s="317"/>
      <c r="F150" s="317"/>
      <c r="G150" s="317"/>
      <c r="H150" s="317"/>
      <c r="I150" s="317"/>
      <c r="J150" s="317"/>
      <c r="K150" s="317"/>
      <c r="L150" s="317"/>
      <c r="M150" s="317"/>
      <c r="N150" s="317"/>
    </row>
    <row r="151" spans="3:14">
      <c r="C151" s="295" t="s">
        <v>42</v>
      </c>
      <c r="D151" s="295"/>
      <c r="E151" s="317"/>
      <c r="F151" s="317"/>
      <c r="G151" s="317"/>
      <c r="H151" s="317"/>
      <c r="I151" s="317"/>
      <c r="J151" s="317"/>
      <c r="K151" s="317"/>
      <c r="L151" s="317"/>
      <c r="M151" s="317"/>
      <c r="N151" s="317"/>
    </row>
    <row r="152" spans="3:14">
      <c r="C152" s="295" t="s">
        <v>43</v>
      </c>
      <c r="D152" s="295"/>
      <c r="E152" s="315"/>
      <c r="F152" s="316"/>
      <c r="G152" s="316"/>
      <c r="H152" s="316"/>
      <c r="I152" s="317"/>
      <c r="J152" s="317"/>
      <c r="K152" s="317"/>
      <c r="L152" s="317"/>
      <c r="M152" s="317"/>
      <c r="N152" s="317"/>
    </row>
    <row r="154" spans="3:14">
      <c r="C154" s="206"/>
      <c r="D154" s="211" t="s">
        <v>44</v>
      </c>
      <c r="E154" s="212"/>
      <c r="F154" s="212"/>
      <c r="G154" s="212"/>
      <c r="H154" s="212"/>
      <c r="I154" s="212"/>
      <c r="J154" s="212"/>
      <c r="K154" s="212"/>
      <c r="L154" s="20"/>
      <c r="M154" s="20"/>
      <c r="N154" s="21"/>
    </row>
    <row r="155" spans="3:14">
      <c r="C155" s="207"/>
      <c r="D155" s="214"/>
      <c r="E155" s="215"/>
      <c r="F155" s="215"/>
      <c r="G155" s="215"/>
      <c r="H155" s="215"/>
      <c r="I155" s="215"/>
      <c r="J155" s="215"/>
      <c r="K155" s="215"/>
      <c r="N155" s="22"/>
    </row>
    <row r="156" spans="3:14">
      <c r="C156" s="207"/>
      <c r="D156" s="214"/>
      <c r="E156" s="215"/>
      <c r="F156" s="215"/>
      <c r="G156" s="215"/>
      <c r="H156" s="215"/>
      <c r="I156" s="215"/>
      <c r="J156" s="215"/>
      <c r="K156" s="215"/>
      <c r="N156" s="22"/>
    </row>
    <row r="157" spans="3:14">
      <c r="C157" s="207"/>
      <c r="D157" s="289"/>
      <c r="E157" s="290"/>
      <c r="F157" s="290"/>
      <c r="G157" s="290"/>
      <c r="H157" s="290"/>
      <c r="I157" s="290"/>
      <c r="J157" s="290"/>
      <c r="K157" s="290"/>
      <c r="N157" s="22"/>
    </row>
    <row r="158" spans="3:14" ht="16.5">
      <c r="C158" s="223" t="s">
        <v>45</v>
      </c>
      <c r="D158" s="224"/>
      <c r="E158" s="7" t="s">
        <v>46</v>
      </c>
      <c r="F158" s="8"/>
      <c r="G158" s="8"/>
      <c r="H158" s="8"/>
      <c r="I158" s="8"/>
      <c r="J158" s="8"/>
      <c r="K158" s="8"/>
      <c r="L158" s="8"/>
      <c r="M158" s="8"/>
      <c r="N158" s="23"/>
    </row>
    <row r="159" spans="3:14" ht="16.5">
      <c r="C159" s="223" t="s">
        <v>48</v>
      </c>
      <c r="D159" s="224"/>
      <c r="E159" s="7" t="s">
        <v>49</v>
      </c>
      <c r="F159" s="8"/>
      <c r="G159" s="8"/>
      <c r="H159" s="8"/>
      <c r="I159" s="8"/>
      <c r="J159" s="8"/>
      <c r="K159" s="8"/>
      <c r="L159" s="8"/>
      <c r="M159" s="8"/>
      <c r="N159" s="23"/>
    </row>
    <row r="160" spans="3:14" ht="16.5">
      <c r="C160" s="225" t="s">
        <v>50</v>
      </c>
      <c r="D160" s="226"/>
      <c r="E160" s="7" t="s">
        <v>51</v>
      </c>
      <c r="F160" s="8"/>
      <c r="G160" s="8"/>
      <c r="H160" s="8"/>
      <c r="I160" s="8"/>
      <c r="J160" s="8"/>
      <c r="K160" s="8"/>
      <c r="L160" s="8"/>
      <c r="M160" s="8"/>
      <c r="N160" s="23"/>
    </row>
    <row r="161" spans="3:14" ht="16.5">
      <c r="C161" s="223" t="s">
        <v>52</v>
      </c>
      <c r="D161" s="224"/>
      <c r="E161" s="7" t="s">
        <v>53</v>
      </c>
      <c r="F161" s="8"/>
      <c r="G161" s="8"/>
      <c r="H161" s="8"/>
      <c r="I161" s="8"/>
      <c r="J161" s="8"/>
      <c r="K161" s="8"/>
      <c r="L161" s="8"/>
      <c r="M161" s="8"/>
      <c r="N161" s="23"/>
    </row>
    <row r="162" spans="3:14" ht="15.75">
      <c r="C162" s="227" t="s">
        <v>1182</v>
      </c>
      <c r="D162" s="228"/>
      <c r="E162" s="228"/>
      <c r="F162" s="228"/>
      <c r="G162" s="228"/>
      <c r="H162" s="228"/>
      <c r="I162" s="228"/>
      <c r="J162" s="228"/>
      <c r="K162" s="228"/>
      <c r="L162" s="228"/>
      <c r="M162" s="228"/>
      <c r="N162" s="229"/>
    </row>
    <row r="163" spans="3:14" ht="15.75">
      <c r="C163" s="11" t="s">
        <v>55</v>
      </c>
      <c r="E163" s="12"/>
      <c r="F163" s="12"/>
      <c r="G163" s="12"/>
      <c r="H163" s="12"/>
      <c r="I163" s="24" t="s">
        <v>56</v>
      </c>
      <c r="J163" s="25"/>
      <c r="K163" s="12"/>
      <c r="L163" s="12"/>
      <c r="M163" s="12"/>
      <c r="N163" s="26"/>
    </row>
    <row r="164" spans="3:14">
      <c r="C164" s="217"/>
      <c r="D164" s="218"/>
      <c r="E164" s="218"/>
      <c r="F164" s="218"/>
      <c r="G164" s="218"/>
      <c r="H164" s="218"/>
      <c r="I164" s="218"/>
      <c r="J164" s="218"/>
      <c r="K164" s="218"/>
      <c r="L164" s="218"/>
      <c r="M164" s="218"/>
      <c r="N164" s="219"/>
    </row>
    <row r="165" spans="3:14" ht="15.75">
      <c r="C165" s="15" t="s">
        <v>103</v>
      </c>
      <c r="D165" s="355"/>
      <c r="E165" s="356"/>
      <c r="F165" s="356"/>
      <c r="G165" s="356"/>
      <c r="H165" s="357"/>
      <c r="I165" s="368" t="s">
        <v>542</v>
      </c>
      <c r="J165" s="369"/>
      <c r="K165" s="369"/>
      <c r="L165" s="369"/>
      <c r="M165" s="369"/>
      <c r="N165" s="370"/>
    </row>
    <row r="166" spans="3:14">
      <c r="C166" s="329" t="s">
        <v>59</v>
      </c>
      <c r="D166" s="209" t="s">
        <v>60</v>
      </c>
      <c r="E166" s="209" t="s">
        <v>659</v>
      </c>
      <c r="F166" s="209" t="s">
        <v>62</v>
      </c>
      <c r="G166" s="209" t="s">
        <v>63</v>
      </c>
      <c r="H166" s="209" t="s">
        <v>64</v>
      </c>
      <c r="I166" s="209" t="s">
        <v>65</v>
      </c>
      <c r="J166" s="342" t="s">
        <v>66</v>
      </c>
      <c r="K166" s="343"/>
      <c r="L166" s="344"/>
      <c r="M166" s="209" t="s">
        <v>30</v>
      </c>
      <c r="N166" s="328" t="s">
        <v>67</v>
      </c>
    </row>
    <row r="167" spans="3:14" ht="60">
      <c r="C167" s="359"/>
      <c r="D167" s="292"/>
      <c r="E167" s="292"/>
      <c r="F167" s="292"/>
      <c r="G167" s="292"/>
      <c r="H167" s="292"/>
      <c r="I167" s="292"/>
      <c r="J167" s="17" t="s">
        <v>68</v>
      </c>
      <c r="K167" s="28" t="s">
        <v>999</v>
      </c>
      <c r="L167" s="17" t="s">
        <v>70</v>
      </c>
      <c r="M167" s="292"/>
      <c r="N167" s="360"/>
    </row>
    <row r="168" spans="3:14">
      <c r="C168" s="18">
        <v>1</v>
      </c>
      <c r="D168" s="18" t="s">
        <v>71</v>
      </c>
      <c r="E168" s="19">
        <v>63</v>
      </c>
      <c r="F168" s="29" t="s">
        <v>223</v>
      </c>
      <c r="G168" s="29" t="s">
        <v>83</v>
      </c>
      <c r="H168" s="29">
        <v>56.6</v>
      </c>
      <c r="I168" s="29" t="s">
        <v>1198</v>
      </c>
      <c r="J168" s="18">
        <v>1.2</v>
      </c>
      <c r="K168" s="30">
        <v>3.8</v>
      </c>
      <c r="L168" s="18">
        <v>5</v>
      </c>
      <c r="M168" s="16"/>
      <c r="N168" s="16"/>
    </row>
    <row r="169" spans="3:14">
      <c r="C169" s="18">
        <f t="shared" ref="C169:C177" si="4">1+C168</f>
        <v>2</v>
      </c>
      <c r="D169" s="18" t="s">
        <v>71</v>
      </c>
      <c r="E169" s="19">
        <v>63</v>
      </c>
      <c r="F169" s="29" t="s">
        <v>300</v>
      </c>
      <c r="G169" s="29" t="s">
        <v>786</v>
      </c>
      <c r="H169" s="29">
        <v>13.1</v>
      </c>
      <c r="I169" s="29" t="s">
        <v>1198</v>
      </c>
      <c r="J169" s="18">
        <v>1.2</v>
      </c>
      <c r="K169" s="30">
        <v>3.8</v>
      </c>
      <c r="L169" s="18">
        <v>5</v>
      </c>
      <c r="M169" s="16"/>
      <c r="N169" s="16"/>
    </row>
    <row r="170" spans="3:14">
      <c r="C170" s="18">
        <f t="shared" si="4"/>
        <v>3</v>
      </c>
      <c r="D170" s="18" t="s">
        <v>71</v>
      </c>
      <c r="E170" s="19">
        <v>63</v>
      </c>
      <c r="F170" s="29" t="s">
        <v>300</v>
      </c>
      <c r="G170" s="29" t="s">
        <v>786</v>
      </c>
      <c r="H170" s="29">
        <v>10.1</v>
      </c>
      <c r="I170" s="29" t="s">
        <v>1198</v>
      </c>
      <c r="J170" s="18">
        <v>1.2</v>
      </c>
      <c r="K170" s="30">
        <v>3.8</v>
      </c>
      <c r="L170" s="18">
        <v>5</v>
      </c>
      <c r="M170" s="16"/>
      <c r="N170" s="16"/>
    </row>
    <row r="171" spans="3:14">
      <c r="C171" s="18">
        <f t="shared" si="4"/>
        <v>4</v>
      </c>
      <c r="D171" s="18" t="s">
        <v>71</v>
      </c>
      <c r="E171" s="19">
        <v>63</v>
      </c>
      <c r="F171" s="29" t="s">
        <v>300</v>
      </c>
      <c r="G171" s="29" t="s">
        <v>786</v>
      </c>
      <c r="H171" s="29">
        <v>23.1</v>
      </c>
      <c r="I171" s="29" t="s">
        <v>1198</v>
      </c>
      <c r="J171" s="18">
        <v>1.2</v>
      </c>
      <c r="K171" s="30">
        <v>3.8</v>
      </c>
      <c r="L171" s="18">
        <v>5</v>
      </c>
      <c r="M171" s="16"/>
      <c r="N171" s="16"/>
    </row>
    <row r="172" spans="3:14">
      <c r="C172" s="18">
        <f t="shared" si="4"/>
        <v>5</v>
      </c>
      <c r="D172" s="18" t="s">
        <v>71</v>
      </c>
      <c r="E172" s="19">
        <v>63</v>
      </c>
      <c r="F172" s="29" t="s">
        <v>300</v>
      </c>
      <c r="G172" s="29" t="s">
        <v>786</v>
      </c>
      <c r="H172" s="29">
        <v>17.600000000000001</v>
      </c>
      <c r="I172" s="29" t="s">
        <v>1198</v>
      </c>
      <c r="J172" s="18">
        <v>1.2</v>
      </c>
      <c r="K172" s="30">
        <v>3.8</v>
      </c>
      <c r="L172" s="18">
        <v>5</v>
      </c>
      <c r="M172" s="16"/>
      <c r="N172" s="16"/>
    </row>
    <row r="173" spans="3:14">
      <c r="C173" s="18">
        <f t="shared" si="4"/>
        <v>6</v>
      </c>
      <c r="D173" s="18" t="s">
        <v>71</v>
      </c>
      <c r="E173" s="19">
        <v>63</v>
      </c>
      <c r="F173" s="29" t="s">
        <v>786</v>
      </c>
      <c r="G173" s="29" t="s">
        <v>309</v>
      </c>
      <c r="H173" s="29">
        <v>4.0999999999999996</v>
      </c>
      <c r="I173" s="29" t="s">
        <v>1198</v>
      </c>
      <c r="J173" s="18">
        <v>1.2</v>
      </c>
      <c r="K173" s="30">
        <v>3.8</v>
      </c>
      <c r="L173" s="18">
        <v>5</v>
      </c>
      <c r="M173" s="16"/>
      <c r="N173" s="16"/>
    </row>
    <row r="174" spans="3:14">
      <c r="C174" s="18">
        <f t="shared" si="4"/>
        <v>7</v>
      </c>
      <c r="D174" s="18" t="s">
        <v>71</v>
      </c>
      <c r="E174" s="19">
        <v>63</v>
      </c>
      <c r="F174" s="29" t="s">
        <v>786</v>
      </c>
      <c r="G174" s="29" t="s">
        <v>309</v>
      </c>
      <c r="H174" s="29">
        <v>17.899999999999999</v>
      </c>
      <c r="I174" s="29" t="s">
        <v>1198</v>
      </c>
      <c r="J174" s="18">
        <v>1.2</v>
      </c>
      <c r="K174" s="30">
        <v>3.8</v>
      </c>
      <c r="L174" s="18">
        <v>5</v>
      </c>
      <c r="M174" s="16"/>
      <c r="N174" s="16"/>
    </row>
    <row r="175" spans="3:14">
      <c r="C175" s="18">
        <f t="shared" si="4"/>
        <v>8</v>
      </c>
      <c r="D175" s="18" t="s">
        <v>71</v>
      </c>
      <c r="E175" s="19">
        <v>63</v>
      </c>
      <c r="F175" s="29" t="s">
        <v>786</v>
      </c>
      <c r="G175" s="29" t="s">
        <v>309</v>
      </c>
      <c r="H175" s="29">
        <v>2.7</v>
      </c>
      <c r="I175" s="29" t="s">
        <v>1198</v>
      </c>
      <c r="J175" s="18">
        <v>1.2</v>
      </c>
      <c r="K175" s="30">
        <v>3.8</v>
      </c>
      <c r="L175" s="18">
        <v>5</v>
      </c>
      <c r="M175" s="16"/>
      <c r="N175" s="16"/>
    </row>
    <row r="176" spans="3:14">
      <c r="C176" s="18">
        <f t="shared" si="4"/>
        <v>9</v>
      </c>
      <c r="D176" s="18" t="s">
        <v>71</v>
      </c>
      <c r="E176" s="19">
        <v>63</v>
      </c>
      <c r="F176" s="29" t="s">
        <v>786</v>
      </c>
      <c r="G176" s="29" t="s">
        <v>334</v>
      </c>
      <c r="H176" s="29">
        <v>20.8</v>
      </c>
      <c r="I176" s="29" t="s">
        <v>1198</v>
      </c>
      <c r="J176" s="18">
        <v>1.2</v>
      </c>
      <c r="K176" s="30">
        <v>3.8</v>
      </c>
      <c r="L176" s="18">
        <v>5</v>
      </c>
      <c r="M176" s="16"/>
      <c r="N176" s="16"/>
    </row>
    <row r="177" spans="3:14">
      <c r="C177" s="18">
        <f t="shared" si="4"/>
        <v>10</v>
      </c>
      <c r="D177" s="18" t="s">
        <v>71</v>
      </c>
      <c r="E177" s="19">
        <v>63</v>
      </c>
      <c r="F177" s="29" t="s">
        <v>334</v>
      </c>
      <c r="G177" s="29" t="s">
        <v>312</v>
      </c>
      <c r="H177" s="29">
        <v>32.1</v>
      </c>
      <c r="I177" s="29" t="s">
        <v>1198</v>
      </c>
      <c r="J177" s="18">
        <v>1.2</v>
      </c>
      <c r="K177" s="30">
        <v>3.8</v>
      </c>
      <c r="L177" s="18">
        <v>5</v>
      </c>
      <c r="M177" s="16"/>
      <c r="N177" s="16"/>
    </row>
    <row r="178" spans="3:14">
      <c r="C178" s="18">
        <f t="shared" ref="C178:C208" si="5">1+C177</f>
        <v>11</v>
      </c>
      <c r="D178" s="18" t="s">
        <v>71</v>
      </c>
      <c r="E178" s="19">
        <v>63</v>
      </c>
      <c r="F178" s="29" t="s">
        <v>334</v>
      </c>
      <c r="G178" s="29" t="s">
        <v>312</v>
      </c>
      <c r="H178" s="29">
        <v>2.8</v>
      </c>
      <c r="I178" s="29" t="s">
        <v>1198</v>
      </c>
      <c r="J178" s="18">
        <v>1.2</v>
      </c>
      <c r="K178" s="30">
        <v>3.8</v>
      </c>
      <c r="L178" s="18">
        <v>5</v>
      </c>
      <c r="M178" s="16"/>
      <c r="N178" s="16"/>
    </row>
    <row r="179" spans="3:14">
      <c r="C179" s="18">
        <f t="shared" si="5"/>
        <v>12</v>
      </c>
      <c r="D179" s="18" t="s">
        <v>71</v>
      </c>
      <c r="E179" s="19">
        <v>63</v>
      </c>
      <c r="F179" s="29" t="s">
        <v>334</v>
      </c>
      <c r="G179" s="29" t="s">
        <v>736</v>
      </c>
      <c r="H179" s="29">
        <v>213.1</v>
      </c>
      <c r="I179" s="29" t="s">
        <v>1198</v>
      </c>
      <c r="J179" s="18">
        <v>1.2</v>
      </c>
      <c r="K179" s="30">
        <v>3.8</v>
      </c>
      <c r="L179" s="18">
        <v>5</v>
      </c>
      <c r="M179" s="16"/>
      <c r="N179" s="16"/>
    </row>
    <row r="180" spans="3:14">
      <c r="C180" s="18">
        <f t="shared" si="5"/>
        <v>13</v>
      </c>
      <c r="D180" s="18" t="s">
        <v>71</v>
      </c>
      <c r="E180" s="19">
        <v>63</v>
      </c>
      <c r="F180" s="29" t="s">
        <v>115</v>
      </c>
      <c r="G180" s="29" t="s">
        <v>357</v>
      </c>
      <c r="H180" s="29">
        <v>150</v>
      </c>
      <c r="I180" s="29" t="s">
        <v>1198</v>
      </c>
      <c r="J180" s="18">
        <v>1.2</v>
      </c>
      <c r="K180" s="30">
        <v>3.8</v>
      </c>
      <c r="L180" s="18">
        <v>5</v>
      </c>
      <c r="M180" s="16"/>
      <c r="N180" s="16"/>
    </row>
    <row r="181" spans="3:14">
      <c r="C181" s="18">
        <f t="shared" si="5"/>
        <v>14</v>
      </c>
      <c r="D181" s="18" t="s">
        <v>71</v>
      </c>
      <c r="E181" s="19">
        <v>63</v>
      </c>
      <c r="F181" s="29" t="s">
        <v>736</v>
      </c>
      <c r="G181" s="29" t="s">
        <v>1199</v>
      </c>
      <c r="H181" s="29">
        <v>7.1</v>
      </c>
      <c r="I181" s="29" t="s">
        <v>1198</v>
      </c>
      <c r="J181" s="18">
        <v>1.2</v>
      </c>
      <c r="K181" s="30">
        <v>3.8</v>
      </c>
      <c r="L181" s="18">
        <v>5</v>
      </c>
      <c r="M181" s="16"/>
      <c r="N181" s="16"/>
    </row>
    <row r="182" spans="3:14">
      <c r="C182" s="18">
        <f t="shared" si="5"/>
        <v>15</v>
      </c>
      <c r="D182" s="18" t="s">
        <v>71</v>
      </c>
      <c r="E182" s="19">
        <v>63</v>
      </c>
      <c r="F182" s="29" t="s">
        <v>736</v>
      </c>
      <c r="G182" s="29" t="s">
        <v>223</v>
      </c>
      <c r="H182" s="29">
        <v>5.6</v>
      </c>
      <c r="I182" s="29" t="s">
        <v>1198</v>
      </c>
      <c r="J182" s="18">
        <v>1.2</v>
      </c>
      <c r="K182" s="30">
        <v>3.8</v>
      </c>
      <c r="L182" s="18">
        <v>5</v>
      </c>
      <c r="M182" s="16"/>
      <c r="N182" s="16"/>
    </row>
    <row r="183" spans="3:14">
      <c r="C183" s="18">
        <f t="shared" si="5"/>
        <v>16</v>
      </c>
      <c r="D183" s="18" t="s">
        <v>71</v>
      </c>
      <c r="E183" s="19">
        <v>63</v>
      </c>
      <c r="F183" s="29" t="s">
        <v>736</v>
      </c>
      <c r="G183" s="29" t="s">
        <v>223</v>
      </c>
      <c r="H183" s="29">
        <v>422.1</v>
      </c>
      <c r="I183" s="29" t="s">
        <v>1198</v>
      </c>
      <c r="J183" s="18">
        <v>1.2</v>
      </c>
      <c r="K183" s="30">
        <v>3.8</v>
      </c>
      <c r="L183" s="18">
        <v>5</v>
      </c>
      <c r="M183" s="16"/>
      <c r="N183" s="16"/>
    </row>
    <row r="184" spans="3:14">
      <c r="C184" s="18">
        <f t="shared" si="5"/>
        <v>17</v>
      </c>
      <c r="D184" s="18" t="s">
        <v>71</v>
      </c>
      <c r="E184" s="19">
        <v>63</v>
      </c>
      <c r="F184" s="29" t="s">
        <v>287</v>
      </c>
      <c r="G184" s="29" t="s">
        <v>320</v>
      </c>
      <c r="H184" s="29">
        <v>429.7</v>
      </c>
      <c r="I184" s="29" t="s">
        <v>1198</v>
      </c>
      <c r="J184" s="18">
        <v>1.2</v>
      </c>
      <c r="K184" s="30">
        <v>3.8</v>
      </c>
      <c r="L184" s="18">
        <v>5</v>
      </c>
      <c r="M184" s="16"/>
      <c r="N184" s="16"/>
    </row>
    <row r="185" spans="3:14">
      <c r="C185" s="18">
        <f t="shared" si="5"/>
        <v>18</v>
      </c>
      <c r="D185" s="18" t="s">
        <v>71</v>
      </c>
      <c r="E185" s="19">
        <v>63</v>
      </c>
      <c r="F185" s="29" t="s">
        <v>195</v>
      </c>
      <c r="G185" s="29" t="s">
        <v>1200</v>
      </c>
      <c r="H185" s="29">
        <v>59.2</v>
      </c>
      <c r="I185" s="29" t="s">
        <v>1198</v>
      </c>
      <c r="J185" s="18">
        <v>1.2</v>
      </c>
      <c r="K185" s="30">
        <v>3.8</v>
      </c>
      <c r="L185" s="18">
        <v>5</v>
      </c>
      <c r="M185" s="16"/>
      <c r="N185" s="16"/>
    </row>
    <row r="186" spans="3:14">
      <c r="C186" s="18">
        <f t="shared" si="5"/>
        <v>19</v>
      </c>
      <c r="D186" s="18" t="s">
        <v>71</v>
      </c>
      <c r="E186" s="19">
        <v>63</v>
      </c>
      <c r="F186" s="29" t="s">
        <v>1200</v>
      </c>
      <c r="G186" s="29" t="s">
        <v>1201</v>
      </c>
      <c r="H186" s="29">
        <v>2.8</v>
      </c>
      <c r="I186" s="29" t="s">
        <v>1198</v>
      </c>
      <c r="J186" s="18">
        <v>1.2</v>
      </c>
      <c r="K186" s="30">
        <v>3.8</v>
      </c>
      <c r="L186" s="18">
        <v>5</v>
      </c>
      <c r="M186" s="16"/>
      <c r="N186" s="16"/>
    </row>
    <row r="187" spans="3:14">
      <c r="C187" s="18">
        <f t="shared" si="5"/>
        <v>20</v>
      </c>
      <c r="D187" s="18" t="s">
        <v>71</v>
      </c>
      <c r="E187" s="19">
        <v>63</v>
      </c>
      <c r="F187" s="29" t="s">
        <v>1200</v>
      </c>
      <c r="G187" s="29" t="s">
        <v>1201</v>
      </c>
      <c r="H187" s="29">
        <v>14.1</v>
      </c>
      <c r="I187" s="29" t="s">
        <v>1198</v>
      </c>
      <c r="J187" s="18">
        <v>1.2</v>
      </c>
      <c r="K187" s="30">
        <v>3.8</v>
      </c>
      <c r="L187" s="18">
        <v>5</v>
      </c>
      <c r="M187" s="16"/>
      <c r="N187" s="16"/>
    </row>
    <row r="188" spans="3:14">
      <c r="C188" s="18">
        <f t="shared" si="5"/>
        <v>21</v>
      </c>
      <c r="D188" s="18" t="s">
        <v>71</v>
      </c>
      <c r="E188" s="19">
        <v>63</v>
      </c>
      <c r="F188" s="29" t="s">
        <v>1201</v>
      </c>
      <c r="G188" s="29" t="s">
        <v>1202</v>
      </c>
      <c r="H188" s="29">
        <v>11.2</v>
      </c>
      <c r="I188" s="29" t="s">
        <v>1198</v>
      </c>
      <c r="J188" s="18">
        <v>1.2</v>
      </c>
      <c r="K188" s="30">
        <v>3.8</v>
      </c>
      <c r="L188" s="18">
        <v>5</v>
      </c>
      <c r="M188" s="16"/>
      <c r="N188" s="16"/>
    </row>
    <row r="189" spans="3:14">
      <c r="C189" s="18">
        <f t="shared" si="5"/>
        <v>22</v>
      </c>
      <c r="D189" s="18" t="s">
        <v>71</v>
      </c>
      <c r="E189" s="19">
        <v>63</v>
      </c>
      <c r="F189" s="29" t="s">
        <v>1201</v>
      </c>
      <c r="G189" s="29" t="s">
        <v>1203</v>
      </c>
      <c r="H189" s="29">
        <v>28.5</v>
      </c>
      <c r="I189" s="29" t="s">
        <v>1198</v>
      </c>
      <c r="J189" s="18">
        <v>1.2</v>
      </c>
      <c r="K189" s="30">
        <v>3.8</v>
      </c>
      <c r="L189" s="18">
        <v>5</v>
      </c>
      <c r="M189" s="16"/>
      <c r="N189" s="16"/>
    </row>
    <row r="190" spans="3:14">
      <c r="C190" s="18">
        <f t="shared" si="5"/>
        <v>23</v>
      </c>
      <c r="D190" s="18" t="s">
        <v>71</v>
      </c>
      <c r="E190" s="19">
        <v>63</v>
      </c>
      <c r="F190" s="29" t="s">
        <v>1200</v>
      </c>
      <c r="G190" s="29" t="s">
        <v>203</v>
      </c>
      <c r="H190" s="29">
        <v>134.4</v>
      </c>
      <c r="I190" s="29" t="s">
        <v>1198</v>
      </c>
      <c r="J190" s="18">
        <v>1.2</v>
      </c>
      <c r="K190" s="30">
        <v>3.8</v>
      </c>
      <c r="L190" s="18">
        <v>5</v>
      </c>
      <c r="M190" s="16"/>
      <c r="N190" s="16"/>
    </row>
    <row r="191" spans="3:14">
      <c r="C191" s="18">
        <f t="shared" si="5"/>
        <v>24</v>
      </c>
      <c r="D191" s="18" t="s">
        <v>71</v>
      </c>
      <c r="E191" s="19">
        <v>63</v>
      </c>
      <c r="F191" s="29" t="s">
        <v>203</v>
      </c>
      <c r="G191" s="29" t="s">
        <v>243</v>
      </c>
      <c r="H191" s="29">
        <v>53.1</v>
      </c>
      <c r="I191" s="29" t="s">
        <v>1198</v>
      </c>
      <c r="J191" s="18">
        <v>1.2</v>
      </c>
      <c r="K191" s="30">
        <v>3.8</v>
      </c>
      <c r="L191" s="18">
        <v>5</v>
      </c>
      <c r="M191" s="16"/>
      <c r="N191" s="16"/>
    </row>
    <row r="192" spans="3:14">
      <c r="C192" s="18">
        <f t="shared" si="5"/>
        <v>25</v>
      </c>
      <c r="D192" s="18" t="s">
        <v>71</v>
      </c>
      <c r="E192" s="19">
        <v>63</v>
      </c>
      <c r="F192" s="29" t="s">
        <v>203</v>
      </c>
      <c r="G192" s="29" t="s">
        <v>399</v>
      </c>
      <c r="H192" s="29">
        <v>46.1</v>
      </c>
      <c r="I192" s="29" t="s">
        <v>1198</v>
      </c>
      <c r="J192" s="18">
        <v>1.2</v>
      </c>
      <c r="K192" s="30">
        <v>3.8</v>
      </c>
      <c r="L192" s="18">
        <v>5</v>
      </c>
      <c r="M192" s="16"/>
      <c r="N192" s="16"/>
    </row>
    <row r="193" spans="3:14">
      <c r="C193" s="18">
        <f t="shared" si="5"/>
        <v>26</v>
      </c>
      <c r="D193" s="18" t="s">
        <v>71</v>
      </c>
      <c r="E193" s="19">
        <v>63</v>
      </c>
      <c r="F193" s="29" t="s">
        <v>203</v>
      </c>
      <c r="G193" s="29" t="s">
        <v>399</v>
      </c>
      <c r="H193" s="29">
        <v>31.2</v>
      </c>
      <c r="I193" s="29" t="s">
        <v>1198</v>
      </c>
      <c r="J193" s="18">
        <v>1.2</v>
      </c>
      <c r="K193" s="30">
        <v>3.8</v>
      </c>
      <c r="L193" s="18">
        <v>5</v>
      </c>
      <c r="M193" s="16"/>
      <c r="N193" s="16"/>
    </row>
    <row r="194" spans="3:14">
      <c r="C194" s="18">
        <f t="shared" si="5"/>
        <v>27</v>
      </c>
      <c r="D194" s="18" t="s">
        <v>71</v>
      </c>
      <c r="E194" s="19">
        <v>63</v>
      </c>
      <c r="F194" s="29" t="s">
        <v>1204</v>
      </c>
      <c r="G194" s="29" t="s">
        <v>1205</v>
      </c>
      <c r="H194" s="29">
        <v>24.8</v>
      </c>
      <c r="I194" s="29" t="s">
        <v>1198</v>
      </c>
      <c r="J194" s="18">
        <v>1.2</v>
      </c>
      <c r="K194" s="30">
        <v>3.8</v>
      </c>
      <c r="L194" s="18">
        <v>5</v>
      </c>
      <c r="M194" s="16"/>
      <c r="N194" s="16"/>
    </row>
    <row r="195" spans="3:14">
      <c r="C195" s="18">
        <f t="shared" si="5"/>
        <v>28</v>
      </c>
      <c r="D195" s="18" t="s">
        <v>71</v>
      </c>
      <c r="E195" s="19">
        <v>63</v>
      </c>
      <c r="F195" s="29" t="s">
        <v>203</v>
      </c>
      <c r="G195" s="29" t="s">
        <v>1112</v>
      </c>
      <c r="H195" s="29">
        <v>16.100000000000001</v>
      </c>
      <c r="I195" s="29" t="s">
        <v>1198</v>
      </c>
      <c r="J195" s="18">
        <v>1.2</v>
      </c>
      <c r="K195" s="30">
        <v>3.8</v>
      </c>
      <c r="L195" s="18">
        <v>5</v>
      </c>
      <c r="M195" s="16"/>
      <c r="N195" s="16"/>
    </row>
    <row r="196" spans="3:14">
      <c r="C196" s="18">
        <f t="shared" si="5"/>
        <v>29</v>
      </c>
      <c r="D196" s="18" t="s">
        <v>71</v>
      </c>
      <c r="E196" s="19">
        <v>63</v>
      </c>
      <c r="F196" s="29" t="s">
        <v>1112</v>
      </c>
      <c r="G196" s="29" t="s">
        <v>785</v>
      </c>
      <c r="H196" s="29">
        <v>40</v>
      </c>
      <c r="I196" s="29" t="s">
        <v>1198</v>
      </c>
      <c r="J196" s="18">
        <v>1.2</v>
      </c>
      <c r="K196" s="30">
        <v>3.8</v>
      </c>
      <c r="L196" s="18">
        <v>5</v>
      </c>
      <c r="M196" s="16"/>
      <c r="N196" s="16"/>
    </row>
    <row r="197" spans="3:14">
      <c r="C197" s="18">
        <f t="shared" si="5"/>
        <v>30</v>
      </c>
      <c r="D197" s="18" t="s">
        <v>71</v>
      </c>
      <c r="E197" s="19">
        <v>63</v>
      </c>
      <c r="F197" s="29" t="s">
        <v>785</v>
      </c>
      <c r="G197" s="29" t="s">
        <v>297</v>
      </c>
      <c r="H197" s="29">
        <v>69</v>
      </c>
      <c r="I197" s="29" t="s">
        <v>1198</v>
      </c>
      <c r="J197" s="18">
        <v>1.2</v>
      </c>
      <c r="K197" s="30">
        <v>3.8</v>
      </c>
      <c r="L197" s="18">
        <v>5</v>
      </c>
      <c r="M197" s="16"/>
      <c r="N197" s="16"/>
    </row>
    <row r="198" spans="3:14">
      <c r="C198" s="18">
        <f t="shared" si="5"/>
        <v>31</v>
      </c>
      <c r="D198" s="18" t="s">
        <v>71</v>
      </c>
      <c r="E198" s="19">
        <v>63</v>
      </c>
      <c r="F198" s="29" t="s">
        <v>785</v>
      </c>
      <c r="G198" s="29" t="s">
        <v>695</v>
      </c>
      <c r="H198" s="29">
        <v>29.8</v>
      </c>
      <c r="I198" s="29" t="s">
        <v>1198</v>
      </c>
      <c r="J198" s="18">
        <v>1.2</v>
      </c>
      <c r="K198" s="30">
        <v>3.8</v>
      </c>
      <c r="L198" s="18">
        <v>5</v>
      </c>
      <c r="M198" s="16"/>
      <c r="N198" s="16"/>
    </row>
    <row r="199" spans="3:14">
      <c r="C199" s="18">
        <f t="shared" si="5"/>
        <v>32</v>
      </c>
      <c r="D199" s="18" t="s">
        <v>71</v>
      </c>
      <c r="E199" s="19">
        <v>63</v>
      </c>
      <c r="F199" s="29" t="s">
        <v>1112</v>
      </c>
      <c r="G199" s="29" t="s">
        <v>245</v>
      </c>
      <c r="H199" s="29">
        <v>25.6</v>
      </c>
      <c r="I199" s="29" t="s">
        <v>1198</v>
      </c>
      <c r="J199" s="18">
        <v>1.2</v>
      </c>
      <c r="K199" s="30">
        <v>3.8</v>
      </c>
      <c r="L199" s="18">
        <v>5</v>
      </c>
      <c r="M199" s="16"/>
      <c r="N199" s="16"/>
    </row>
    <row r="200" spans="3:14">
      <c r="C200" s="18">
        <f t="shared" si="5"/>
        <v>33</v>
      </c>
      <c r="D200" s="18" t="s">
        <v>71</v>
      </c>
      <c r="E200" s="19">
        <v>63</v>
      </c>
      <c r="F200" s="29" t="s">
        <v>245</v>
      </c>
      <c r="G200" s="29" t="s">
        <v>695</v>
      </c>
      <c r="H200" s="29">
        <v>41.4</v>
      </c>
      <c r="I200" s="29" t="s">
        <v>1198</v>
      </c>
      <c r="J200" s="18">
        <v>1.2</v>
      </c>
      <c r="K200" s="30">
        <v>3.8</v>
      </c>
      <c r="L200" s="18">
        <v>5</v>
      </c>
      <c r="M200" s="16"/>
      <c r="N200" s="16"/>
    </row>
    <row r="201" spans="3:14">
      <c r="C201" s="18">
        <f t="shared" si="5"/>
        <v>34</v>
      </c>
      <c r="D201" s="18" t="s">
        <v>71</v>
      </c>
      <c r="E201" s="19">
        <v>63</v>
      </c>
      <c r="F201" s="29" t="s">
        <v>245</v>
      </c>
      <c r="G201" s="29" t="s">
        <v>220</v>
      </c>
      <c r="H201" s="29">
        <v>43.3</v>
      </c>
      <c r="I201" s="29" t="s">
        <v>1198</v>
      </c>
      <c r="J201" s="18">
        <v>1.2</v>
      </c>
      <c r="K201" s="30">
        <v>3.8</v>
      </c>
      <c r="L201" s="18">
        <v>5</v>
      </c>
      <c r="M201" s="16"/>
      <c r="N201" s="16"/>
    </row>
    <row r="202" spans="3:14">
      <c r="C202" s="18">
        <f t="shared" si="5"/>
        <v>35</v>
      </c>
      <c r="D202" s="18" t="s">
        <v>71</v>
      </c>
      <c r="E202" s="19">
        <v>63</v>
      </c>
      <c r="F202" s="29" t="s">
        <v>220</v>
      </c>
      <c r="G202" s="29" t="s">
        <v>248</v>
      </c>
      <c r="H202" s="29">
        <v>35.5</v>
      </c>
      <c r="I202" s="29" t="s">
        <v>1198</v>
      </c>
      <c r="J202" s="18">
        <v>1.2</v>
      </c>
      <c r="K202" s="30">
        <v>3.8</v>
      </c>
      <c r="L202" s="18">
        <v>5</v>
      </c>
      <c r="M202" s="16"/>
      <c r="N202" s="16"/>
    </row>
    <row r="203" spans="3:14">
      <c r="C203" s="18">
        <f t="shared" si="5"/>
        <v>36</v>
      </c>
      <c r="D203" s="18" t="s">
        <v>71</v>
      </c>
      <c r="E203" s="19">
        <v>63</v>
      </c>
      <c r="F203" s="29" t="s">
        <v>220</v>
      </c>
      <c r="G203" s="29" t="s">
        <v>404</v>
      </c>
      <c r="H203" s="29">
        <v>19.100000000000001</v>
      </c>
      <c r="I203" s="29" t="s">
        <v>1198</v>
      </c>
      <c r="J203" s="18">
        <v>1.2</v>
      </c>
      <c r="K203" s="30">
        <v>3.8</v>
      </c>
      <c r="L203" s="18">
        <v>5</v>
      </c>
      <c r="M203" s="16"/>
      <c r="N203" s="16"/>
    </row>
    <row r="204" spans="3:14">
      <c r="C204" s="18">
        <f t="shared" si="5"/>
        <v>37</v>
      </c>
      <c r="D204" s="18" t="s">
        <v>71</v>
      </c>
      <c r="E204" s="19">
        <v>63</v>
      </c>
      <c r="F204" s="29" t="s">
        <v>220</v>
      </c>
      <c r="G204" s="29" t="s">
        <v>404</v>
      </c>
      <c r="H204" s="29">
        <v>4.0999999999999996</v>
      </c>
      <c r="I204" s="29" t="s">
        <v>1198</v>
      </c>
      <c r="J204" s="18">
        <v>1.2</v>
      </c>
      <c r="K204" s="30">
        <v>3.8</v>
      </c>
      <c r="L204" s="18">
        <v>5</v>
      </c>
      <c r="M204" s="16"/>
      <c r="N204" s="16"/>
    </row>
    <row r="205" spans="3:14">
      <c r="C205" s="18">
        <f t="shared" si="5"/>
        <v>38</v>
      </c>
      <c r="D205" s="18" t="s">
        <v>71</v>
      </c>
      <c r="E205" s="19">
        <v>63</v>
      </c>
      <c r="F205" s="29" t="s">
        <v>404</v>
      </c>
      <c r="G205" s="29" t="s">
        <v>247</v>
      </c>
      <c r="H205" s="29">
        <v>3.8</v>
      </c>
      <c r="I205" s="29" t="s">
        <v>1198</v>
      </c>
      <c r="J205" s="18">
        <v>1.2</v>
      </c>
      <c r="K205" s="30">
        <v>3.8</v>
      </c>
      <c r="L205" s="18">
        <v>5</v>
      </c>
      <c r="M205" s="16"/>
      <c r="N205" s="16"/>
    </row>
    <row r="206" spans="3:14">
      <c r="C206" s="18">
        <f t="shared" si="5"/>
        <v>39</v>
      </c>
      <c r="D206" s="18" t="s">
        <v>71</v>
      </c>
      <c r="E206" s="19">
        <v>75</v>
      </c>
      <c r="F206" s="29" t="s">
        <v>404</v>
      </c>
      <c r="G206" s="29" t="s">
        <v>247</v>
      </c>
      <c r="H206" s="29">
        <v>31.9</v>
      </c>
      <c r="I206" s="29" t="s">
        <v>1198</v>
      </c>
      <c r="J206" s="18">
        <v>1.2</v>
      </c>
      <c r="K206" s="30">
        <v>3.8</v>
      </c>
      <c r="L206" s="18">
        <v>5</v>
      </c>
      <c r="M206" s="16"/>
      <c r="N206" s="16"/>
    </row>
    <row r="207" spans="3:14">
      <c r="C207" s="18">
        <f t="shared" si="5"/>
        <v>40</v>
      </c>
      <c r="D207" s="18" t="s">
        <v>71</v>
      </c>
      <c r="E207" s="19">
        <v>90</v>
      </c>
      <c r="F207" s="29" t="s">
        <v>247</v>
      </c>
      <c r="G207" s="29" t="s">
        <v>699</v>
      </c>
      <c r="H207" s="29">
        <v>10.1</v>
      </c>
      <c r="I207" s="29" t="s">
        <v>1198</v>
      </c>
      <c r="J207" s="18">
        <v>1.2</v>
      </c>
      <c r="K207" s="30">
        <v>3.8</v>
      </c>
      <c r="L207" s="18">
        <v>5</v>
      </c>
      <c r="M207" s="16"/>
      <c r="N207" s="16"/>
    </row>
    <row r="208" spans="3:14">
      <c r="C208" s="18">
        <f t="shared" si="5"/>
        <v>41</v>
      </c>
      <c r="D208" s="18" t="s">
        <v>71</v>
      </c>
      <c r="E208" s="19">
        <v>90</v>
      </c>
      <c r="F208" s="29" t="s">
        <v>247</v>
      </c>
      <c r="G208" s="29" t="s">
        <v>699</v>
      </c>
      <c r="H208" s="29">
        <v>8.4</v>
      </c>
      <c r="I208" s="29" t="s">
        <v>1198</v>
      </c>
      <c r="J208" s="18">
        <v>1.2</v>
      </c>
      <c r="K208" s="30">
        <v>3.8</v>
      </c>
      <c r="L208" s="18">
        <v>5</v>
      </c>
      <c r="M208" s="16"/>
      <c r="N208" s="16"/>
    </row>
    <row r="209" spans="3:14">
      <c r="C209" s="18">
        <f t="shared" ref="C209:C241" si="6">1+C208</f>
        <v>42</v>
      </c>
      <c r="D209" s="18" t="s">
        <v>71</v>
      </c>
      <c r="E209" s="19">
        <v>63</v>
      </c>
      <c r="F209" s="29" t="s">
        <v>774</v>
      </c>
      <c r="G209" s="29" t="s">
        <v>338</v>
      </c>
      <c r="H209" s="29">
        <v>121.5</v>
      </c>
      <c r="I209" s="29" t="s">
        <v>1198</v>
      </c>
      <c r="J209" s="18">
        <v>1.2</v>
      </c>
      <c r="K209" s="30">
        <v>3.8</v>
      </c>
      <c r="L209" s="18">
        <v>5</v>
      </c>
      <c r="M209" s="16"/>
      <c r="N209" s="16"/>
    </row>
    <row r="210" spans="3:14">
      <c r="C210" s="18">
        <f t="shared" si="6"/>
        <v>43</v>
      </c>
      <c r="D210" s="18" t="s">
        <v>71</v>
      </c>
      <c r="E210" s="19">
        <v>90</v>
      </c>
      <c r="F210" s="29" t="s">
        <v>247</v>
      </c>
      <c r="G210" s="29" t="s">
        <v>699</v>
      </c>
      <c r="H210" s="29">
        <v>18</v>
      </c>
      <c r="I210" s="29" t="s">
        <v>1198</v>
      </c>
      <c r="J210" s="18">
        <v>1.2</v>
      </c>
      <c r="K210" s="30">
        <v>3.8</v>
      </c>
      <c r="L210" s="18">
        <v>5</v>
      </c>
      <c r="M210" s="16"/>
      <c r="N210" s="16"/>
    </row>
    <row r="211" spans="3:14">
      <c r="C211" s="18">
        <f t="shared" si="6"/>
        <v>44</v>
      </c>
      <c r="D211" s="18" t="s">
        <v>71</v>
      </c>
      <c r="E211" s="19">
        <v>90</v>
      </c>
      <c r="F211" s="29" t="s">
        <v>247</v>
      </c>
      <c r="G211" s="29" t="s">
        <v>699</v>
      </c>
      <c r="H211" s="29">
        <v>24.9</v>
      </c>
      <c r="I211" s="29" t="s">
        <v>1198</v>
      </c>
      <c r="J211" s="18">
        <v>1.2</v>
      </c>
      <c r="K211" s="30">
        <v>3.8</v>
      </c>
      <c r="L211" s="18">
        <v>5</v>
      </c>
      <c r="M211" s="16"/>
      <c r="N211" s="16"/>
    </row>
    <row r="212" spans="3:14">
      <c r="C212" s="18">
        <f t="shared" si="6"/>
        <v>45</v>
      </c>
      <c r="D212" s="18" t="s">
        <v>71</v>
      </c>
      <c r="E212" s="19">
        <v>90</v>
      </c>
      <c r="F212" s="29" t="s">
        <v>247</v>
      </c>
      <c r="G212" s="29" t="s">
        <v>699</v>
      </c>
      <c r="H212" s="29">
        <v>15.3</v>
      </c>
      <c r="I212" s="29" t="s">
        <v>1198</v>
      </c>
      <c r="J212" s="18">
        <v>1.2</v>
      </c>
      <c r="K212" s="30">
        <v>3.8</v>
      </c>
      <c r="L212" s="18">
        <v>5</v>
      </c>
      <c r="M212" s="16"/>
      <c r="N212" s="16"/>
    </row>
    <row r="213" spans="3:14">
      <c r="C213" s="18">
        <f t="shared" si="6"/>
        <v>46</v>
      </c>
      <c r="D213" s="18" t="s">
        <v>71</v>
      </c>
      <c r="E213" s="19">
        <v>90</v>
      </c>
      <c r="F213" s="29" t="s">
        <v>247</v>
      </c>
      <c r="G213" s="29" t="s">
        <v>699</v>
      </c>
      <c r="H213" s="29">
        <v>7.1</v>
      </c>
      <c r="I213" s="29" t="s">
        <v>1198</v>
      </c>
      <c r="J213" s="18">
        <v>1.2</v>
      </c>
      <c r="K213" s="30">
        <v>3.8</v>
      </c>
      <c r="L213" s="18">
        <v>5</v>
      </c>
      <c r="M213" s="16"/>
      <c r="N213" s="16"/>
    </row>
    <row r="214" spans="3:14">
      <c r="C214" s="18">
        <f t="shared" si="6"/>
        <v>47</v>
      </c>
      <c r="D214" s="18" t="s">
        <v>71</v>
      </c>
      <c r="E214" s="19">
        <v>140</v>
      </c>
      <c r="F214" s="29" t="s">
        <v>699</v>
      </c>
      <c r="G214" s="29" t="s">
        <v>1206</v>
      </c>
      <c r="H214" s="29">
        <v>3.3</v>
      </c>
      <c r="I214" s="29" t="s">
        <v>1198</v>
      </c>
      <c r="J214" s="18">
        <v>1.2</v>
      </c>
      <c r="K214" s="30">
        <v>3.8</v>
      </c>
      <c r="L214" s="18">
        <v>5</v>
      </c>
      <c r="M214" s="16"/>
      <c r="N214" s="16"/>
    </row>
    <row r="215" spans="3:14">
      <c r="C215" s="18">
        <f t="shared" si="6"/>
        <v>48</v>
      </c>
      <c r="D215" s="18" t="s">
        <v>71</v>
      </c>
      <c r="E215" s="19">
        <v>140</v>
      </c>
      <c r="F215" s="29" t="s">
        <v>699</v>
      </c>
      <c r="G215" s="29" t="s">
        <v>1206</v>
      </c>
      <c r="H215" s="29">
        <v>73.8</v>
      </c>
      <c r="I215" s="29" t="s">
        <v>1198</v>
      </c>
      <c r="J215" s="18">
        <v>1.2</v>
      </c>
      <c r="K215" s="30">
        <v>3.8</v>
      </c>
      <c r="L215" s="18">
        <v>5</v>
      </c>
      <c r="M215" s="16"/>
      <c r="N215" s="16"/>
    </row>
    <row r="216" spans="3:14">
      <c r="C216" s="18">
        <f t="shared" si="6"/>
        <v>49</v>
      </c>
      <c r="D216" s="18" t="s">
        <v>71</v>
      </c>
      <c r="E216" s="19">
        <v>63</v>
      </c>
      <c r="F216" s="29" t="s">
        <v>1206</v>
      </c>
      <c r="G216" s="29" t="s">
        <v>1207</v>
      </c>
      <c r="H216" s="29">
        <v>24.1</v>
      </c>
      <c r="I216" s="29" t="s">
        <v>1198</v>
      </c>
      <c r="J216" s="18">
        <v>1.2</v>
      </c>
      <c r="K216" s="30">
        <v>3.8</v>
      </c>
      <c r="L216" s="18">
        <v>5</v>
      </c>
      <c r="M216" s="16"/>
      <c r="N216" s="16"/>
    </row>
    <row r="217" spans="3:14">
      <c r="C217" s="18">
        <f t="shared" si="6"/>
        <v>50</v>
      </c>
      <c r="D217" s="18" t="s">
        <v>71</v>
      </c>
      <c r="E217" s="19">
        <v>140</v>
      </c>
      <c r="F217" s="29" t="s">
        <v>1206</v>
      </c>
      <c r="G217" s="29" t="s">
        <v>1208</v>
      </c>
      <c r="H217" s="29">
        <v>5.5</v>
      </c>
      <c r="I217" s="29" t="s">
        <v>1198</v>
      </c>
      <c r="J217" s="18">
        <v>1.2</v>
      </c>
      <c r="K217" s="30">
        <v>3.8</v>
      </c>
      <c r="L217" s="18">
        <v>5</v>
      </c>
      <c r="M217" s="16"/>
      <c r="N217" s="16"/>
    </row>
    <row r="218" spans="3:14">
      <c r="C218" s="18">
        <f t="shared" si="6"/>
        <v>51</v>
      </c>
      <c r="D218" s="18" t="s">
        <v>71</v>
      </c>
      <c r="E218" s="19">
        <v>63</v>
      </c>
      <c r="F218" s="29" t="s">
        <v>1208</v>
      </c>
      <c r="G218" s="29" t="s">
        <v>1209</v>
      </c>
      <c r="H218" s="29">
        <v>7.6</v>
      </c>
      <c r="I218" s="29" t="s">
        <v>1198</v>
      </c>
      <c r="J218" s="18">
        <v>1.2</v>
      </c>
      <c r="K218" s="30">
        <v>3.8</v>
      </c>
      <c r="L218" s="18">
        <v>5</v>
      </c>
      <c r="M218" s="16"/>
      <c r="N218" s="16"/>
    </row>
    <row r="219" spans="3:14">
      <c r="C219" s="18">
        <f t="shared" si="6"/>
        <v>52</v>
      </c>
      <c r="D219" s="18" t="s">
        <v>71</v>
      </c>
      <c r="E219" s="19">
        <v>63</v>
      </c>
      <c r="F219" s="29" t="s">
        <v>1208</v>
      </c>
      <c r="G219" s="29" t="s">
        <v>1209</v>
      </c>
      <c r="H219" s="29">
        <v>20.100000000000001</v>
      </c>
      <c r="I219" s="29" t="s">
        <v>1198</v>
      </c>
      <c r="J219" s="18">
        <v>1.2</v>
      </c>
      <c r="K219" s="30">
        <v>3.8</v>
      </c>
      <c r="L219" s="18">
        <v>5</v>
      </c>
      <c r="M219" s="16"/>
      <c r="N219" s="16"/>
    </row>
    <row r="220" spans="3:14">
      <c r="C220" s="18">
        <f t="shared" si="6"/>
        <v>53</v>
      </c>
      <c r="D220" s="18" t="s">
        <v>71</v>
      </c>
      <c r="E220" s="19">
        <v>125</v>
      </c>
      <c r="F220" s="29" t="s">
        <v>1209</v>
      </c>
      <c r="G220" s="29" t="s">
        <v>1167</v>
      </c>
      <c r="H220" s="29">
        <v>24.2</v>
      </c>
      <c r="I220" s="29" t="s">
        <v>1198</v>
      </c>
      <c r="J220" s="18">
        <v>1.2</v>
      </c>
      <c r="K220" s="30">
        <v>3.8</v>
      </c>
      <c r="L220" s="18">
        <v>5</v>
      </c>
      <c r="M220" s="16"/>
      <c r="N220" s="16"/>
    </row>
    <row r="221" spans="3:14">
      <c r="C221" s="18">
        <f t="shared" si="6"/>
        <v>54</v>
      </c>
      <c r="D221" s="18" t="s">
        <v>71</v>
      </c>
      <c r="E221" s="19">
        <v>140</v>
      </c>
      <c r="F221" s="29" t="s">
        <v>1167</v>
      </c>
      <c r="G221" s="29" t="s">
        <v>1208</v>
      </c>
      <c r="H221" s="29">
        <v>19.8</v>
      </c>
      <c r="I221" s="29" t="s">
        <v>1198</v>
      </c>
      <c r="J221" s="18">
        <v>1.2</v>
      </c>
      <c r="K221" s="30">
        <v>3.8</v>
      </c>
      <c r="L221" s="18">
        <v>5</v>
      </c>
      <c r="M221" s="16"/>
      <c r="N221" s="16"/>
    </row>
    <row r="222" spans="3:14">
      <c r="C222" s="18">
        <f t="shared" si="6"/>
        <v>55</v>
      </c>
      <c r="D222" s="18" t="s">
        <v>71</v>
      </c>
      <c r="E222" s="19">
        <v>140</v>
      </c>
      <c r="F222" s="29" t="s">
        <v>1167</v>
      </c>
      <c r="G222" s="29" t="s">
        <v>445</v>
      </c>
      <c r="H222" s="29">
        <v>38.1</v>
      </c>
      <c r="I222" s="29" t="s">
        <v>1198</v>
      </c>
      <c r="J222" s="18">
        <v>1.2</v>
      </c>
      <c r="K222" s="30">
        <v>3.8</v>
      </c>
      <c r="L222" s="18">
        <v>5</v>
      </c>
      <c r="M222" s="16"/>
      <c r="N222" s="16"/>
    </row>
    <row r="223" spans="3:14">
      <c r="C223" s="18">
        <f t="shared" si="6"/>
        <v>56</v>
      </c>
      <c r="D223" s="18" t="s">
        <v>71</v>
      </c>
      <c r="E223" s="19">
        <v>63</v>
      </c>
      <c r="F223" s="29" t="s">
        <v>445</v>
      </c>
      <c r="G223" s="29" t="s">
        <v>226</v>
      </c>
      <c r="H223" s="29">
        <v>18</v>
      </c>
      <c r="I223" s="29" t="s">
        <v>1198</v>
      </c>
      <c r="J223" s="18">
        <v>1.2</v>
      </c>
      <c r="K223" s="30">
        <v>3.8</v>
      </c>
      <c r="L223" s="18">
        <v>5</v>
      </c>
      <c r="M223" s="16"/>
      <c r="N223" s="16"/>
    </row>
    <row r="224" spans="3:14">
      <c r="C224" s="18">
        <f t="shared" si="6"/>
        <v>57</v>
      </c>
      <c r="D224" s="18" t="s">
        <v>71</v>
      </c>
      <c r="E224" s="19">
        <v>63</v>
      </c>
      <c r="F224" s="29" t="s">
        <v>445</v>
      </c>
      <c r="G224" s="29" t="s">
        <v>226</v>
      </c>
      <c r="H224" s="29">
        <v>13.1</v>
      </c>
      <c r="I224" s="29" t="s">
        <v>1198</v>
      </c>
      <c r="J224" s="18">
        <v>1.2</v>
      </c>
      <c r="K224" s="30">
        <v>3.8</v>
      </c>
      <c r="L224" s="18">
        <v>5</v>
      </c>
      <c r="M224" s="16"/>
      <c r="N224" s="16"/>
    </row>
    <row r="225" spans="3:14">
      <c r="C225" s="18">
        <f t="shared" si="6"/>
        <v>58</v>
      </c>
      <c r="D225" s="18" t="s">
        <v>71</v>
      </c>
      <c r="E225" s="19">
        <v>140</v>
      </c>
      <c r="F225" s="29" t="s">
        <v>445</v>
      </c>
      <c r="G225" s="29" t="s">
        <v>1162</v>
      </c>
      <c r="H225" s="29">
        <v>24.6</v>
      </c>
      <c r="I225" s="29" t="s">
        <v>1198</v>
      </c>
      <c r="J225" s="18">
        <v>1.2</v>
      </c>
      <c r="K225" s="30">
        <v>3.8</v>
      </c>
      <c r="L225" s="18">
        <v>5</v>
      </c>
      <c r="M225" s="16"/>
      <c r="N225" s="16"/>
    </row>
    <row r="226" spans="3:14">
      <c r="C226" s="18">
        <f t="shared" si="6"/>
        <v>59</v>
      </c>
      <c r="D226" s="18" t="s">
        <v>71</v>
      </c>
      <c r="E226" s="19">
        <v>63</v>
      </c>
      <c r="F226" s="29" t="s">
        <v>1162</v>
      </c>
      <c r="G226" s="29" t="s">
        <v>1210</v>
      </c>
      <c r="H226" s="29">
        <v>2.1</v>
      </c>
      <c r="I226" s="29" t="s">
        <v>1198</v>
      </c>
      <c r="J226" s="18">
        <v>1.2</v>
      </c>
      <c r="K226" s="30">
        <v>3.8</v>
      </c>
      <c r="L226" s="18">
        <v>5</v>
      </c>
      <c r="M226" s="16"/>
      <c r="N226" s="16"/>
    </row>
    <row r="227" spans="3:14">
      <c r="C227" s="18">
        <f t="shared" si="6"/>
        <v>60</v>
      </c>
      <c r="D227" s="18" t="s">
        <v>71</v>
      </c>
      <c r="E227" s="19">
        <v>63</v>
      </c>
      <c r="F227" s="29" t="s">
        <v>1162</v>
      </c>
      <c r="G227" s="29" t="s">
        <v>1210</v>
      </c>
      <c r="H227" s="29">
        <v>13.2</v>
      </c>
      <c r="I227" s="29" t="s">
        <v>1198</v>
      </c>
      <c r="J227" s="18">
        <v>1.2</v>
      </c>
      <c r="K227" s="30">
        <v>3.8</v>
      </c>
      <c r="L227" s="18">
        <v>5</v>
      </c>
      <c r="M227" s="16"/>
      <c r="N227" s="16"/>
    </row>
    <row r="228" spans="3:14">
      <c r="C228" s="18">
        <f t="shared" si="6"/>
        <v>61</v>
      </c>
      <c r="D228" s="18" t="s">
        <v>71</v>
      </c>
      <c r="E228" s="19">
        <v>140</v>
      </c>
      <c r="F228" s="29" t="s">
        <v>1162</v>
      </c>
      <c r="G228" s="29" t="s">
        <v>242</v>
      </c>
      <c r="H228" s="29">
        <v>10</v>
      </c>
      <c r="I228" s="29" t="s">
        <v>1198</v>
      </c>
      <c r="J228" s="18">
        <v>1.2</v>
      </c>
      <c r="K228" s="30">
        <v>3.8</v>
      </c>
      <c r="L228" s="18">
        <v>5</v>
      </c>
      <c r="M228" s="16"/>
      <c r="N228" s="16"/>
    </row>
    <row r="229" spans="3:14">
      <c r="C229" s="18">
        <f t="shared" si="6"/>
        <v>62</v>
      </c>
      <c r="D229" s="18" t="s">
        <v>71</v>
      </c>
      <c r="E229" s="19">
        <v>140</v>
      </c>
      <c r="F229" s="29" t="s">
        <v>1162</v>
      </c>
      <c r="G229" s="29" t="s">
        <v>242</v>
      </c>
      <c r="H229" s="29">
        <v>25.3</v>
      </c>
      <c r="I229" s="29" t="s">
        <v>1198</v>
      </c>
      <c r="J229" s="18">
        <v>1.2</v>
      </c>
      <c r="K229" s="30">
        <v>3.8</v>
      </c>
      <c r="L229" s="18">
        <v>5</v>
      </c>
      <c r="M229" s="16"/>
      <c r="N229" s="16"/>
    </row>
    <row r="230" spans="3:14">
      <c r="C230" s="18">
        <f t="shared" si="6"/>
        <v>63</v>
      </c>
      <c r="D230" s="18" t="s">
        <v>71</v>
      </c>
      <c r="E230" s="19">
        <v>63</v>
      </c>
      <c r="F230" s="29" t="s">
        <v>1211</v>
      </c>
      <c r="G230" s="29" t="s">
        <v>417</v>
      </c>
      <c r="H230" s="29">
        <v>12</v>
      </c>
      <c r="I230" s="29" t="s">
        <v>1198</v>
      </c>
      <c r="J230" s="18">
        <v>1.2</v>
      </c>
      <c r="K230" s="30">
        <v>3.8</v>
      </c>
      <c r="L230" s="18">
        <v>5</v>
      </c>
      <c r="M230" s="16"/>
      <c r="N230" s="16"/>
    </row>
    <row r="231" spans="3:14">
      <c r="C231" s="18">
        <f t="shared" si="6"/>
        <v>64</v>
      </c>
      <c r="D231" s="18" t="s">
        <v>71</v>
      </c>
      <c r="E231" s="19">
        <v>140</v>
      </c>
      <c r="F231" s="29" t="s">
        <v>1211</v>
      </c>
      <c r="G231" s="29" t="s">
        <v>1212</v>
      </c>
      <c r="H231" s="29">
        <v>19.5</v>
      </c>
      <c r="I231" s="29" t="s">
        <v>1198</v>
      </c>
      <c r="J231" s="18">
        <v>1.2</v>
      </c>
      <c r="K231" s="30">
        <v>3.8</v>
      </c>
      <c r="L231" s="18">
        <v>5</v>
      </c>
      <c r="M231" s="16"/>
      <c r="N231" s="16"/>
    </row>
    <row r="232" spans="3:14">
      <c r="C232" s="18">
        <f t="shared" si="6"/>
        <v>65</v>
      </c>
      <c r="D232" s="18" t="s">
        <v>71</v>
      </c>
      <c r="E232" s="19">
        <v>140</v>
      </c>
      <c r="F232" s="29" t="s">
        <v>1211</v>
      </c>
      <c r="G232" s="29" t="s">
        <v>1212</v>
      </c>
      <c r="H232" s="29">
        <v>7.5</v>
      </c>
      <c r="I232" s="29" t="s">
        <v>1198</v>
      </c>
      <c r="J232" s="18">
        <v>1.2</v>
      </c>
      <c r="K232" s="30">
        <v>3.8</v>
      </c>
      <c r="L232" s="18">
        <v>5</v>
      </c>
      <c r="M232" s="16"/>
      <c r="N232" s="16"/>
    </row>
    <row r="233" spans="3:14">
      <c r="C233" s="18">
        <f t="shared" si="6"/>
        <v>66</v>
      </c>
      <c r="D233" s="18" t="s">
        <v>71</v>
      </c>
      <c r="E233" s="19">
        <v>125</v>
      </c>
      <c r="F233" s="29" t="s">
        <v>1209</v>
      </c>
      <c r="G233" s="29" t="s">
        <v>1213</v>
      </c>
      <c r="H233" s="29">
        <v>13.8</v>
      </c>
      <c r="I233" s="29" t="s">
        <v>1198</v>
      </c>
      <c r="J233" s="18">
        <v>1.2</v>
      </c>
      <c r="K233" s="30">
        <v>3.8</v>
      </c>
      <c r="L233" s="18">
        <v>5</v>
      </c>
      <c r="M233" s="16"/>
      <c r="N233" s="16"/>
    </row>
    <row r="234" spans="3:14">
      <c r="C234" s="18">
        <f t="shared" si="6"/>
        <v>67</v>
      </c>
      <c r="D234" s="18" t="s">
        <v>71</v>
      </c>
      <c r="E234" s="19">
        <v>63</v>
      </c>
      <c r="F234" s="29" t="s">
        <v>1213</v>
      </c>
      <c r="G234" s="29" t="s">
        <v>218</v>
      </c>
      <c r="H234" s="29">
        <v>1.5</v>
      </c>
      <c r="I234" s="29" t="s">
        <v>1198</v>
      </c>
      <c r="J234" s="18">
        <v>1.2</v>
      </c>
      <c r="K234" s="30">
        <v>3.8</v>
      </c>
      <c r="L234" s="18">
        <v>5</v>
      </c>
      <c r="M234" s="16"/>
      <c r="N234" s="16"/>
    </row>
    <row r="235" spans="3:14">
      <c r="C235" s="18">
        <f t="shared" si="6"/>
        <v>68</v>
      </c>
      <c r="D235" s="18" t="s">
        <v>71</v>
      </c>
      <c r="E235" s="19">
        <v>63</v>
      </c>
      <c r="F235" s="29" t="s">
        <v>665</v>
      </c>
      <c r="G235" s="29" t="s">
        <v>218</v>
      </c>
      <c r="H235" s="29">
        <v>60.1</v>
      </c>
      <c r="I235" s="29" t="s">
        <v>1198</v>
      </c>
      <c r="J235" s="18">
        <v>1.2</v>
      </c>
      <c r="K235" s="30">
        <v>3.8</v>
      </c>
      <c r="L235" s="18">
        <v>5</v>
      </c>
      <c r="M235" s="16"/>
      <c r="N235" s="16"/>
    </row>
    <row r="236" spans="3:14">
      <c r="C236" s="18">
        <f t="shared" si="6"/>
        <v>69</v>
      </c>
      <c r="D236" s="18" t="s">
        <v>71</v>
      </c>
      <c r="E236" s="19">
        <v>125</v>
      </c>
      <c r="F236" s="29" t="s">
        <v>665</v>
      </c>
      <c r="G236" s="29" t="s">
        <v>1188</v>
      </c>
      <c r="H236" s="29">
        <v>9.8000000000000007</v>
      </c>
      <c r="I236" s="29" t="s">
        <v>1198</v>
      </c>
      <c r="J236" s="18">
        <v>1.2</v>
      </c>
      <c r="K236" s="30">
        <v>3.8</v>
      </c>
      <c r="L236" s="18">
        <v>5</v>
      </c>
      <c r="M236" s="16"/>
      <c r="N236" s="16"/>
    </row>
    <row r="237" spans="3:14">
      <c r="C237" s="18">
        <f t="shared" si="6"/>
        <v>70</v>
      </c>
      <c r="D237" s="18" t="s">
        <v>71</v>
      </c>
      <c r="E237" s="19">
        <v>63</v>
      </c>
      <c r="F237" s="29" t="s">
        <v>180</v>
      </c>
      <c r="G237" s="29" t="s">
        <v>717</v>
      </c>
      <c r="H237" s="29">
        <v>141.30000000000001</v>
      </c>
      <c r="I237" s="29" t="s">
        <v>1198</v>
      </c>
      <c r="J237" s="18">
        <v>1.2</v>
      </c>
      <c r="K237" s="30">
        <v>3.8</v>
      </c>
      <c r="L237" s="18">
        <v>5</v>
      </c>
      <c r="M237" s="16"/>
      <c r="N237" s="16"/>
    </row>
    <row r="238" spans="3:14">
      <c r="C238" s="18">
        <f t="shared" si="6"/>
        <v>71</v>
      </c>
      <c r="D238" s="18" t="s">
        <v>71</v>
      </c>
      <c r="E238" s="19">
        <v>63</v>
      </c>
      <c r="F238" s="29" t="s">
        <v>231</v>
      </c>
      <c r="G238" s="29" t="s">
        <v>134</v>
      </c>
      <c r="H238" s="29">
        <v>102.3</v>
      </c>
      <c r="I238" s="29" t="s">
        <v>1198</v>
      </c>
      <c r="J238" s="18">
        <v>1.2</v>
      </c>
      <c r="K238" s="30">
        <v>3.8</v>
      </c>
      <c r="L238" s="18">
        <v>5</v>
      </c>
      <c r="M238" s="16"/>
      <c r="N238" s="16"/>
    </row>
    <row r="239" spans="3:14">
      <c r="C239" s="18">
        <f t="shared" si="6"/>
        <v>72</v>
      </c>
      <c r="D239" s="18" t="s">
        <v>71</v>
      </c>
      <c r="E239" s="19">
        <v>63</v>
      </c>
      <c r="F239" s="29" t="s">
        <v>231</v>
      </c>
      <c r="G239" s="29" t="s">
        <v>433</v>
      </c>
      <c r="H239" s="29">
        <v>151.19999999999999</v>
      </c>
      <c r="I239" s="29" t="s">
        <v>1198</v>
      </c>
      <c r="J239" s="18">
        <v>1.2</v>
      </c>
      <c r="K239" s="30">
        <v>3.8</v>
      </c>
      <c r="L239" s="18">
        <v>5</v>
      </c>
      <c r="M239" s="16"/>
      <c r="N239" s="16"/>
    </row>
    <row r="240" spans="3:14">
      <c r="C240" s="18">
        <f t="shared" si="6"/>
        <v>73</v>
      </c>
      <c r="D240" s="18" t="s">
        <v>71</v>
      </c>
      <c r="E240" s="19">
        <v>63</v>
      </c>
      <c r="F240" s="29" t="s">
        <v>115</v>
      </c>
      <c r="G240" s="29" t="s">
        <v>403</v>
      </c>
      <c r="H240" s="29">
        <v>68.099999999999994</v>
      </c>
      <c r="I240" s="29" t="s">
        <v>1198</v>
      </c>
      <c r="J240" s="18">
        <v>1.2</v>
      </c>
      <c r="K240" s="30">
        <v>3.8</v>
      </c>
      <c r="L240" s="18">
        <v>5</v>
      </c>
      <c r="M240" s="16"/>
      <c r="N240" s="16"/>
    </row>
    <row r="241" spans="3:14">
      <c r="C241" s="18">
        <f t="shared" si="6"/>
        <v>74</v>
      </c>
      <c r="D241" s="18" t="s">
        <v>71</v>
      </c>
      <c r="E241" s="19">
        <v>63</v>
      </c>
      <c r="F241" s="29" t="s">
        <v>699</v>
      </c>
      <c r="G241" s="29" t="s">
        <v>135</v>
      </c>
      <c r="H241" s="29">
        <v>52</v>
      </c>
      <c r="I241" s="29" t="s">
        <v>1198</v>
      </c>
      <c r="J241" s="18">
        <v>1.2</v>
      </c>
      <c r="K241" s="30">
        <v>3.8</v>
      </c>
      <c r="L241" s="18">
        <v>5</v>
      </c>
      <c r="M241" s="16"/>
      <c r="N241" s="16"/>
    </row>
    <row r="242" spans="3:14">
      <c r="C242" s="18"/>
      <c r="D242" s="18"/>
      <c r="E242" s="19"/>
      <c r="F242" s="19"/>
      <c r="G242" s="19"/>
      <c r="H242" s="19"/>
      <c r="I242" s="29"/>
      <c r="J242" s="18"/>
      <c r="K242" s="30"/>
      <c r="L242" s="18"/>
      <c r="M242" s="16"/>
      <c r="N242" s="16"/>
    </row>
    <row r="243" spans="3:14">
      <c r="C243" s="18"/>
      <c r="D243" s="18"/>
      <c r="E243" s="19"/>
      <c r="F243" s="19"/>
      <c r="G243" s="19"/>
      <c r="H243" s="19"/>
      <c r="I243" s="29"/>
      <c r="J243" s="18"/>
      <c r="K243" s="30"/>
      <c r="L243" s="18"/>
      <c r="M243" s="16"/>
      <c r="N243" s="16"/>
    </row>
    <row r="244" spans="3:14">
      <c r="C244" s="374"/>
      <c r="D244" s="374"/>
      <c r="E244" s="374"/>
      <c r="F244" s="374"/>
      <c r="G244" s="374"/>
      <c r="H244" s="374"/>
      <c r="I244" s="374"/>
      <c r="J244" s="374"/>
      <c r="K244" s="374"/>
      <c r="L244" s="374"/>
      <c r="M244" s="374"/>
      <c r="N244" s="374"/>
    </row>
    <row r="245" spans="3:14">
      <c r="C245" s="324"/>
      <c r="D245" s="324"/>
      <c r="E245" s="325" t="s">
        <v>86</v>
      </c>
      <c r="F245" s="325"/>
      <c r="G245" s="325"/>
      <c r="H245" s="325"/>
      <c r="I245" s="325" t="s">
        <v>87</v>
      </c>
      <c r="J245" s="325"/>
      <c r="K245" s="325"/>
      <c r="L245" s="325" t="s">
        <v>39</v>
      </c>
      <c r="M245" s="325"/>
      <c r="N245" s="325"/>
    </row>
    <row r="246" spans="3:14">
      <c r="C246" s="295" t="s">
        <v>40</v>
      </c>
      <c r="D246" s="295"/>
      <c r="E246" s="317"/>
      <c r="F246" s="317"/>
      <c r="G246" s="317"/>
      <c r="H246" s="317"/>
      <c r="I246" s="317"/>
      <c r="J246" s="317"/>
      <c r="K246" s="317"/>
      <c r="L246" s="317"/>
      <c r="M246" s="317"/>
      <c r="N246" s="317"/>
    </row>
    <row r="247" spans="3:14">
      <c r="C247" s="295" t="s">
        <v>41</v>
      </c>
      <c r="D247" s="295"/>
      <c r="E247" s="317"/>
      <c r="F247" s="317"/>
      <c r="G247" s="317"/>
      <c r="H247" s="317"/>
      <c r="I247" s="317"/>
      <c r="J247" s="317"/>
      <c r="K247" s="317"/>
      <c r="L247" s="317"/>
      <c r="M247" s="317"/>
      <c r="N247" s="317"/>
    </row>
    <row r="248" spans="3:14">
      <c r="C248" s="295" t="s">
        <v>42</v>
      </c>
      <c r="D248" s="295"/>
      <c r="E248" s="317"/>
      <c r="F248" s="317"/>
      <c r="G248" s="317"/>
      <c r="H248" s="317"/>
      <c r="I248" s="317"/>
      <c r="J248" s="317"/>
      <c r="K248" s="317"/>
      <c r="L248" s="317"/>
      <c r="M248" s="317"/>
      <c r="N248" s="317"/>
    </row>
    <row r="249" spans="3:14">
      <c r="C249" s="295" t="s">
        <v>43</v>
      </c>
      <c r="D249" s="295"/>
      <c r="E249" s="315"/>
      <c r="F249" s="316"/>
      <c r="G249" s="316"/>
      <c r="H249" s="316"/>
      <c r="I249" s="317"/>
      <c r="J249" s="317"/>
      <c r="K249" s="317"/>
      <c r="L249" s="317"/>
      <c r="M249" s="317"/>
      <c r="N249" s="317"/>
    </row>
  </sheetData>
  <mergeCells count="123">
    <mergeCell ref="C7:D7"/>
    <mergeCell ref="C8:D8"/>
    <mergeCell ref="C9:D9"/>
    <mergeCell ref="C10:D10"/>
    <mergeCell ref="C11:N11"/>
    <mergeCell ref="C13:N13"/>
    <mergeCell ref="D14:H14"/>
    <mergeCell ref="I14:N14"/>
    <mergeCell ref="J15:L15"/>
    <mergeCell ref="E15:E16"/>
    <mergeCell ref="F15:F16"/>
    <mergeCell ref="G15:G16"/>
    <mergeCell ref="H15:H16"/>
    <mergeCell ref="I15:I16"/>
    <mergeCell ref="M15:M16"/>
    <mergeCell ref="N15:N16"/>
    <mergeCell ref="C76:N76"/>
    <mergeCell ref="C77:D77"/>
    <mergeCell ref="E77:H77"/>
    <mergeCell ref="I77:K77"/>
    <mergeCell ref="L77:N77"/>
    <mergeCell ref="C78:D78"/>
    <mergeCell ref="E78:H78"/>
    <mergeCell ref="I78:K78"/>
    <mergeCell ref="L78:N78"/>
    <mergeCell ref="C79:D79"/>
    <mergeCell ref="E79:H79"/>
    <mergeCell ref="I79:K79"/>
    <mergeCell ref="L79:N79"/>
    <mergeCell ref="C80:D80"/>
    <mergeCell ref="E80:H80"/>
    <mergeCell ref="I80:K80"/>
    <mergeCell ref="L80:N80"/>
    <mergeCell ref="C81:D81"/>
    <mergeCell ref="E81:H81"/>
    <mergeCell ref="I81:K81"/>
    <mergeCell ref="L81:N81"/>
    <mergeCell ref="C87:D87"/>
    <mergeCell ref="C88:D88"/>
    <mergeCell ref="C89:D89"/>
    <mergeCell ref="C90:D90"/>
    <mergeCell ref="C91:N91"/>
    <mergeCell ref="C93:N93"/>
    <mergeCell ref="D94:H94"/>
    <mergeCell ref="I94:N94"/>
    <mergeCell ref="J95:L95"/>
    <mergeCell ref="E95:E96"/>
    <mergeCell ref="F95:F96"/>
    <mergeCell ref="G95:G96"/>
    <mergeCell ref="H95:H96"/>
    <mergeCell ref="I95:I96"/>
    <mergeCell ref="M95:M96"/>
    <mergeCell ref="N95:N96"/>
    <mergeCell ref="C147:N147"/>
    <mergeCell ref="C148:D148"/>
    <mergeCell ref="E148:H148"/>
    <mergeCell ref="I148:K148"/>
    <mergeCell ref="L148:N148"/>
    <mergeCell ref="C149:D149"/>
    <mergeCell ref="E149:H149"/>
    <mergeCell ref="I149:K149"/>
    <mergeCell ref="L149:N149"/>
    <mergeCell ref="H166:H167"/>
    <mergeCell ref="I166:I167"/>
    <mergeCell ref="M166:M167"/>
    <mergeCell ref="N166:N167"/>
    <mergeCell ref="C150:D150"/>
    <mergeCell ref="E150:H150"/>
    <mergeCell ref="I150:K150"/>
    <mergeCell ref="L150:N150"/>
    <mergeCell ref="C151:D151"/>
    <mergeCell ref="E151:H151"/>
    <mergeCell ref="I151:K151"/>
    <mergeCell ref="L151:N151"/>
    <mergeCell ref="C152:D152"/>
    <mergeCell ref="E152:H152"/>
    <mergeCell ref="I152:K152"/>
    <mergeCell ref="L152:N152"/>
    <mergeCell ref="C244:N244"/>
    <mergeCell ref="C245:D245"/>
    <mergeCell ref="E245:H245"/>
    <mergeCell ref="I245:K245"/>
    <mergeCell ref="L245:N245"/>
    <mergeCell ref="C246:D246"/>
    <mergeCell ref="E246:H246"/>
    <mergeCell ref="I246:K246"/>
    <mergeCell ref="L246:N246"/>
    <mergeCell ref="C247:D247"/>
    <mergeCell ref="E247:H247"/>
    <mergeCell ref="I247:K247"/>
    <mergeCell ref="L247:N247"/>
    <mergeCell ref="C248:D248"/>
    <mergeCell ref="E248:H248"/>
    <mergeCell ref="I248:K248"/>
    <mergeCell ref="L248:N248"/>
    <mergeCell ref="C249:D249"/>
    <mergeCell ref="E249:H249"/>
    <mergeCell ref="I249:K249"/>
    <mergeCell ref="L249:N249"/>
    <mergeCell ref="C3:C6"/>
    <mergeCell ref="C15:C16"/>
    <mergeCell ref="C83:C86"/>
    <mergeCell ref="C95:C96"/>
    <mergeCell ref="C154:C157"/>
    <mergeCell ref="C166:C167"/>
    <mergeCell ref="D15:D16"/>
    <mergeCell ref="D95:D96"/>
    <mergeCell ref="D166:D167"/>
    <mergeCell ref="D3:K6"/>
    <mergeCell ref="D83:K86"/>
    <mergeCell ref="D154:K157"/>
    <mergeCell ref="C158:D158"/>
    <mergeCell ref="C159:D159"/>
    <mergeCell ref="C160:D160"/>
    <mergeCell ref="C161:D161"/>
    <mergeCell ref="C162:N162"/>
    <mergeCell ref="C164:N164"/>
    <mergeCell ref="D165:H165"/>
    <mergeCell ref="I165:N165"/>
    <mergeCell ref="J166:L166"/>
    <mergeCell ref="E166:E167"/>
    <mergeCell ref="F166:F167"/>
    <mergeCell ref="G166:G167"/>
  </mergeCells>
  <pageMargins left="0.75" right="0.75" top="1" bottom="1" header="0.5" footer="0.5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C3:Q346"/>
  <sheetViews>
    <sheetView topLeftCell="A34" zoomScale="70" zoomScaleNormal="70" zoomScaleSheetLayoutView="55" workbookViewId="0">
      <selection activeCell="Y56" sqref="Y56"/>
    </sheetView>
  </sheetViews>
  <sheetFormatPr defaultRowHeight="15"/>
  <cols>
    <col min="9" max="9" width="10.85546875" customWidth="1"/>
  </cols>
  <sheetData>
    <row r="3" spans="3:14" ht="15.75" thickBot="1"/>
    <row r="4" spans="3:14">
      <c r="C4" s="206"/>
      <c r="D4" s="211" t="s">
        <v>44</v>
      </c>
      <c r="E4" s="212"/>
      <c r="F4" s="212"/>
      <c r="G4" s="212"/>
      <c r="H4" s="212"/>
      <c r="I4" s="212"/>
      <c r="J4" s="212"/>
      <c r="K4" s="212"/>
      <c r="L4" s="20"/>
      <c r="M4" s="20"/>
      <c r="N4" s="21"/>
    </row>
    <row r="5" spans="3:14">
      <c r="C5" s="207"/>
      <c r="D5" s="214"/>
      <c r="E5" s="215"/>
      <c r="F5" s="215"/>
      <c r="G5" s="215"/>
      <c r="H5" s="215"/>
      <c r="I5" s="215"/>
      <c r="J5" s="215"/>
      <c r="K5" s="215"/>
      <c r="N5" s="22"/>
    </row>
    <row r="6" spans="3:14">
      <c r="C6" s="207"/>
      <c r="D6" s="214"/>
      <c r="E6" s="215"/>
      <c r="F6" s="215"/>
      <c r="G6" s="215"/>
      <c r="H6" s="215"/>
      <c r="I6" s="215"/>
      <c r="J6" s="215"/>
      <c r="K6" s="215"/>
      <c r="N6" s="22"/>
    </row>
    <row r="7" spans="3:14">
      <c r="C7" s="207"/>
      <c r="D7" s="289"/>
      <c r="E7" s="290"/>
      <c r="F7" s="290"/>
      <c r="G7" s="290"/>
      <c r="H7" s="290"/>
      <c r="I7" s="290"/>
      <c r="J7" s="290"/>
      <c r="K7" s="290"/>
      <c r="N7" s="22"/>
    </row>
    <row r="8" spans="3:14" ht="16.5">
      <c r="C8" s="223" t="s">
        <v>45</v>
      </c>
      <c r="D8" s="224"/>
      <c r="E8" s="159" t="s">
        <v>46</v>
      </c>
      <c r="F8" s="160"/>
      <c r="G8" s="160"/>
      <c r="H8" s="160"/>
      <c r="I8" s="160"/>
      <c r="J8" s="160"/>
      <c r="K8" s="160"/>
      <c r="L8" s="160"/>
      <c r="M8" s="160"/>
      <c r="N8" s="23"/>
    </row>
    <row r="9" spans="3:14" ht="16.5">
      <c r="C9" s="223" t="s">
        <v>48</v>
      </c>
      <c r="D9" s="224"/>
      <c r="E9" s="159" t="s">
        <v>49</v>
      </c>
      <c r="F9" s="160"/>
      <c r="G9" s="160"/>
      <c r="H9" s="160"/>
      <c r="I9" s="160"/>
      <c r="J9" s="160"/>
      <c r="K9" s="160"/>
      <c r="L9" s="160"/>
      <c r="M9" s="160"/>
      <c r="N9" s="23"/>
    </row>
    <row r="10" spans="3:14" ht="16.5">
      <c r="C10" s="225" t="s">
        <v>50</v>
      </c>
      <c r="D10" s="226"/>
      <c r="E10" s="159" t="s">
        <v>51</v>
      </c>
      <c r="F10" s="160"/>
      <c r="G10" s="160"/>
      <c r="H10" s="160"/>
      <c r="I10" s="160"/>
      <c r="J10" s="160"/>
      <c r="K10" s="160"/>
      <c r="L10" s="160"/>
      <c r="M10" s="160"/>
      <c r="N10" s="23"/>
    </row>
    <row r="11" spans="3:14" ht="16.5">
      <c r="C11" s="223" t="s">
        <v>52</v>
      </c>
      <c r="D11" s="224"/>
      <c r="E11" s="159" t="s">
        <v>53</v>
      </c>
      <c r="F11" s="160"/>
      <c r="G11" s="160"/>
      <c r="H11" s="160"/>
      <c r="I11" s="160"/>
      <c r="J11" s="160"/>
      <c r="K11" s="160"/>
      <c r="L11" s="160"/>
      <c r="M11" s="160"/>
      <c r="N11" s="23"/>
    </row>
    <row r="12" spans="3:14" ht="15.75">
      <c r="C12" s="227" t="s">
        <v>1214</v>
      </c>
      <c r="D12" s="228"/>
      <c r="E12" s="228"/>
      <c r="F12" s="228"/>
      <c r="G12" s="228"/>
      <c r="H12" s="228"/>
      <c r="I12" s="228"/>
      <c r="J12" s="228"/>
      <c r="K12" s="228"/>
      <c r="L12" s="228"/>
      <c r="M12" s="228"/>
      <c r="N12" s="229"/>
    </row>
    <row r="13" spans="3:14" ht="15.75">
      <c r="C13" s="11" t="s">
        <v>55</v>
      </c>
      <c r="E13" s="12"/>
      <c r="F13" s="12"/>
      <c r="G13" s="12"/>
      <c r="H13" s="12"/>
      <c r="I13" s="24" t="s">
        <v>56</v>
      </c>
      <c r="J13" s="25"/>
      <c r="K13" s="12"/>
      <c r="L13" s="12"/>
      <c r="M13" s="12"/>
      <c r="N13" s="26"/>
    </row>
    <row r="14" spans="3:14">
      <c r="C14" s="217"/>
      <c r="D14" s="218"/>
      <c r="E14" s="218"/>
      <c r="F14" s="218"/>
      <c r="G14" s="218"/>
      <c r="H14" s="218"/>
      <c r="I14" s="218"/>
      <c r="J14" s="218"/>
      <c r="K14" s="218"/>
      <c r="L14" s="218"/>
      <c r="M14" s="218"/>
      <c r="N14" s="219"/>
    </row>
    <row r="15" spans="3:14" ht="15.75">
      <c r="C15" s="162" t="s">
        <v>103</v>
      </c>
      <c r="D15" s="355"/>
      <c r="E15" s="356"/>
      <c r="F15" s="356"/>
      <c r="G15" s="356"/>
      <c r="H15" s="357"/>
      <c r="I15" s="368" t="s">
        <v>542</v>
      </c>
      <c r="J15" s="369"/>
      <c r="K15" s="369"/>
      <c r="L15" s="369"/>
      <c r="M15" s="369"/>
      <c r="N15" s="370"/>
    </row>
    <row r="16" spans="3:14">
      <c r="C16" s="329" t="s">
        <v>59</v>
      </c>
      <c r="D16" s="209" t="s">
        <v>60</v>
      </c>
      <c r="E16" s="209" t="s">
        <v>659</v>
      </c>
      <c r="F16" s="209" t="s">
        <v>62</v>
      </c>
      <c r="G16" s="209" t="s">
        <v>63</v>
      </c>
      <c r="H16" s="209" t="s">
        <v>64</v>
      </c>
      <c r="I16" s="209" t="s">
        <v>65</v>
      </c>
      <c r="J16" s="342" t="s">
        <v>66</v>
      </c>
      <c r="K16" s="343"/>
      <c r="L16" s="344"/>
      <c r="M16" s="209" t="s">
        <v>30</v>
      </c>
      <c r="N16" s="328" t="s">
        <v>67</v>
      </c>
    </row>
    <row r="17" spans="3:14" ht="60">
      <c r="C17" s="359"/>
      <c r="D17" s="292"/>
      <c r="E17" s="292"/>
      <c r="F17" s="292"/>
      <c r="G17" s="292"/>
      <c r="H17" s="292"/>
      <c r="I17" s="292"/>
      <c r="J17" s="163" t="s">
        <v>68</v>
      </c>
      <c r="K17" s="28" t="s">
        <v>999</v>
      </c>
      <c r="L17" s="163" t="s">
        <v>70</v>
      </c>
      <c r="M17" s="292"/>
      <c r="N17" s="360"/>
    </row>
    <row r="18" spans="3:14">
      <c r="C18" s="18">
        <v>1</v>
      </c>
      <c r="D18" s="18" t="s">
        <v>71</v>
      </c>
      <c r="E18" s="164">
        <v>63</v>
      </c>
      <c r="F18" s="164" t="s">
        <v>478</v>
      </c>
      <c r="G18" s="164" t="s">
        <v>1215</v>
      </c>
      <c r="H18" s="55">
        <v>133.6</v>
      </c>
      <c r="I18" s="164" t="s">
        <v>276</v>
      </c>
      <c r="J18" s="18">
        <v>1.5</v>
      </c>
      <c r="K18" s="30">
        <v>3.3</v>
      </c>
      <c r="L18" s="18">
        <v>4.8</v>
      </c>
      <c r="M18" s="161"/>
      <c r="N18" s="161"/>
    </row>
    <row r="19" spans="3:14">
      <c r="C19" s="18">
        <f t="shared" ref="C19:C67" si="0">1+C18</f>
        <v>2</v>
      </c>
      <c r="D19" s="18" t="s">
        <v>71</v>
      </c>
      <c r="E19" s="164">
        <v>63</v>
      </c>
      <c r="F19" s="164" t="s">
        <v>1215</v>
      </c>
      <c r="G19" s="164" t="s">
        <v>730</v>
      </c>
      <c r="H19" s="55">
        <v>75.900000000000006</v>
      </c>
      <c r="I19" s="164" t="s">
        <v>276</v>
      </c>
      <c r="J19" s="18">
        <v>1.5</v>
      </c>
      <c r="K19" s="30">
        <v>3.3</v>
      </c>
      <c r="L19" s="18">
        <v>4.8</v>
      </c>
      <c r="M19" s="161"/>
      <c r="N19" s="161"/>
    </row>
    <row r="20" spans="3:14">
      <c r="C20" s="18">
        <f t="shared" si="0"/>
        <v>3</v>
      </c>
      <c r="D20" s="18" t="s">
        <v>71</v>
      </c>
      <c r="E20" s="164">
        <v>63</v>
      </c>
      <c r="F20" s="164" t="s">
        <v>730</v>
      </c>
      <c r="G20" s="164" t="s">
        <v>663</v>
      </c>
      <c r="H20" s="55">
        <v>274.3</v>
      </c>
      <c r="I20" s="164" t="s">
        <v>276</v>
      </c>
      <c r="J20" s="18">
        <v>1.5</v>
      </c>
      <c r="K20" s="30">
        <v>3.3</v>
      </c>
      <c r="L20" s="18">
        <v>4.8</v>
      </c>
      <c r="M20" s="161"/>
      <c r="N20" s="161"/>
    </row>
    <row r="21" spans="3:14">
      <c r="C21" s="18">
        <f t="shared" si="0"/>
        <v>4</v>
      </c>
      <c r="D21" s="18" t="s">
        <v>71</v>
      </c>
      <c r="E21" s="164">
        <v>63</v>
      </c>
      <c r="F21" s="164" t="s">
        <v>663</v>
      </c>
      <c r="G21" s="164" t="s">
        <v>1216</v>
      </c>
      <c r="H21" s="55">
        <v>3</v>
      </c>
      <c r="I21" s="164" t="s">
        <v>276</v>
      </c>
      <c r="J21" s="18">
        <v>1.5</v>
      </c>
      <c r="K21" s="30">
        <v>3.3</v>
      </c>
      <c r="L21" s="18">
        <v>4.8</v>
      </c>
      <c r="M21" s="161"/>
      <c r="N21" s="161"/>
    </row>
    <row r="22" spans="3:14">
      <c r="C22" s="18">
        <f t="shared" si="0"/>
        <v>5</v>
      </c>
      <c r="D22" s="18" t="s">
        <v>71</v>
      </c>
      <c r="E22" s="164">
        <v>63</v>
      </c>
      <c r="F22" s="164" t="s">
        <v>663</v>
      </c>
      <c r="G22" s="164" t="s">
        <v>1216</v>
      </c>
      <c r="H22" s="55">
        <v>66.2</v>
      </c>
      <c r="I22" s="164" t="s">
        <v>276</v>
      </c>
      <c r="J22" s="18">
        <v>1.5</v>
      </c>
      <c r="K22" s="30">
        <v>3.3</v>
      </c>
      <c r="L22" s="18">
        <v>4.8</v>
      </c>
      <c r="M22" s="161"/>
      <c r="N22" s="161"/>
    </row>
    <row r="23" spans="3:14">
      <c r="C23" s="18">
        <f t="shared" si="0"/>
        <v>6</v>
      </c>
      <c r="D23" s="18" t="s">
        <v>71</v>
      </c>
      <c r="E23" s="164">
        <v>63</v>
      </c>
      <c r="F23" s="164" t="s">
        <v>1216</v>
      </c>
      <c r="G23" s="164" t="s">
        <v>1217</v>
      </c>
      <c r="H23" s="55">
        <v>66.599999999999994</v>
      </c>
      <c r="I23" s="164" t="s">
        <v>276</v>
      </c>
      <c r="J23" s="18">
        <v>1.5</v>
      </c>
      <c r="K23" s="30">
        <v>3.3</v>
      </c>
      <c r="L23" s="18">
        <v>4.8</v>
      </c>
      <c r="M23" s="161"/>
      <c r="N23" s="161"/>
    </row>
    <row r="24" spans="3:14">
      <c r="C24" s="18">
        <f t="shared" si="0"/>
        <v>7</v>
      </c>
      <c r="D24" s="18" t="s">
        <v>71</v>
      </c>
      <c r="E24" s="164">
        <v>63</v>
      </c>
      <c r="F24" s="164" t="s">
        <v>1216</v>
      </c>
      <c r="G24" s="164" t="s">
        <v>739</v>
      </c>
      <c r="H24" s="55">
        <f>154.7+7</f>
        <v>161.69999999999999</v>
      </c>
      <c r="I24" s="164" t="s">
        <v>276</v>
      </c>
      <c r="J24" s="18">
        <v>1.5</v>
      </c>
      <c r="K24" s="30">
        <v>3.3</v>
      </c>
      <c r="L24" s="18">
        <v>4.8</v>
      </c>
      <c r="M24" s="161"/>
      <c r="N24" s="161"/>
    </row>
    <row r="25" spans="3:14">
      <c r="C25" s="18">
        <f t="shared" si="0"/>
        <v>8</v>
      </c>
      <c r="D25" s="18" t="s">
        <v>71</v>
      </c>
      <c r="E25" s="164">
        <v>63</v>
      </c>
      <c r="F25" s="164" t="s">
        <v>739</v>
      </c>
      <c r="G25" s="164" t="s">
        <v>1218</v>
      </c>
      <c r="H25" s="55">
        <v>18.8</v>
      </c>
      <c r="I25" s="164" t="s">
        <v>276</v>
      </c>
      <c r="J25" s="18">
        <v>1.5</v>
      </c>
      <c r="K25" s="30">
        <v>3.3</v>
      </c>
      <c r="L25" s="18">
        <v>4.8</v>
      </c>
      <c r="M25" s="161"/>
      <c r="N25" s="161"/>
    </row>
    <row r="26" spans="3:14">
      <c r="C26" s="18">
        <f t="shared" si="0"/>
        <v>9</v>
      </c>
      <c r="D26" s="18" t="s">
        <v>71</v>
      </c>
      <c r="E26" s="164">
        <v>63</v>
      </c>
      <c r="F26" s="164" t="s">
        <v>505</v>
      </c>
      <c r="G26" s="164" t="s">
        <v>386</v>
      </c>
      <c r="H26" s="55">
        <v>3.1</v>
      </c>
      <c r="I26" s="164" t="s">
        <v>276</v>
      </c>
      <c r="J26" s="18">
        <v>1.5</v>
      </c>
      <c r="K26" s="30">
        <v>3.3</v>
      </c>
      <c r="L26" s="18">
        <v>4.8</v>
      </c>
      <c r="M26" s="161"/>
      <c r="N26" s="161"/>
    </row>
    <row r="27" spans="3:14">
      <c r="C27" s="18">
        <f t="shared" si="0"/>
        <v>10</v>
      </c>
      <c r="D27" s="18" t="s">
        <v>71</v>
      </c>
      <c r="E27" s="164">
        <v>63</v>
      </c>
      <c r="F27" s="164" t="s">
        <v>1219</v>
      </c>
      <c r="G27" s="164" t="s">
        <v>1220</v>
      </c>
      <c r="H27" s="55">
        <v>19.3</v>
      </c>
      <c r="I27" s="164" t="s">
        <v>276</v>
      </c>
      <c r="J27" s="18">
        <v>1.5</v>
      </c>
      <c r="K27" s="30">
        <v>3.3</v>
      </c>
      <c r="L27" s="18">
        <v>4.8</v>
      </c>
      <c r="M27" s="161"/>
      <c r="N27" s="161"/>
    </row>
    <row r="28" spans="3:14">
      <c r="C28" s="18">
        <f t="shared" si="0"/>
        <v>11</v>
      </c>
      <c r="D28" s="18" t="s">
        <v>71</v>
      </c>
      <c r="E28" s="164">
        <v>63</v>
      </c>
      <c r="F28" s="164" t="s">
        <v>739</v>
      </c>
      <c r="G28" s="164" t="s">
        <v>1221</v>
      </c>
      <c r="H28" s="55">
        <v>40.1</v>
      </c>
      <c r="I28" s="164" t="s">
        <v>276</v>
      </c>
      <c r="J28" s="18">
        <v>1.5</v>
      </c>
      <c r="K28" s="30">
        <v>3.3</v>
      </c>
      <c r="L28" s="18">
        <v>4.8</v>
      </c>
      <c r="M28" s="161"/>
      <c r="N28" s="161"/>
    </row>
    <row r="29" spans="3:14">
      <c r="C29" s="18">
        <f t="shared" si="0"/>
        <v>12</v>
      </c>
      <c r="D29" s="18" t="s">
        <v>71</v>
      </c>
      <c r="E29" s="164">
        <v>63</v>
      </c>
      <c r="F29" s="164" t="s">
        <v>744</v>
      </c>
      <c r="G29" s="164" t="s">
        <v>726</v>
      </c>
      <c r="H29" s="55">
        <f>108.9+8</f>
        <v>116.9</v>
      </c>
      <c r="I29" s="164" t="s">
        <v>276</v>
      </c>
      <c r="J29" s="18">
        <v>1.5</v>
      </c>
      <c r="K29" s="30">
        <v>3.3</v>
      </c>
      <c r="L29" s="18">
        <v>4.8</v>
      </c>
      <c r="M29" s="161"/>
      <c r="N29" s="161"/>
    </row>
    <row r="30" spans="3:14">
      <c r="C30" s="18">
        <f t="shared" si="0"/>
        <v>13</v>
      </c>
      <c r="D30" s="18" t="s">
        <v>71</v>
      </c>
      <c r="E30" s="164">
        <v>63</v>
      </c>
      <c r="F30" s="164" t="s">
        <v>726</v>
      </c>
      <c r="G30" s="164" t="s">
        <v>523</v>
      </c>
      <c r="H30" s="55">
        <v>70.2</v>
      </c>
      <c r="I30" s="164" t="s">
        <v>276</v>
      </c>
      <c r="J30" s="18">
        <v>1.5</v>
      </c>
      <c r="K30" s="30">
        <v>3.3</v>
      </c>
      <c r="L30" s="18">
        <v>4.8</v>
      </c>
      <c r="M30" s="161"/>
      <c r="N30" s="161"/>
    </row>
    <row r="31" spans="3:14">
      <c r="C31" s="18">
        <f t="shared" si="0"/>
        <v>14</v>
      </c>
      <c r="D31" s="18" t="s">
        <v>71</v>
      </c>
      <c r="E31" s="164">
        <v>63</v>
      </c>
      <c r="F31" s="164" t="s">
        <v>523</v>
      </c>
      <c r="G31" s="164" t="s">
        <v>228</v>
      </c>
      <c r="H31" s="55">
        <v>23.4</v>
      </c>
      <c r="I31" s="164" t="s">
        <v>276</v>
      </c>
      <c r="J31" s="18">
        <v>1.5</v>
      </c>
      <c r="K31" s="30">
        <v>3.3</v>
      </c>
      <c r="L31" s="18">
        <v>4.8</v>
      </c>
      <c r="M31" s="161"/>
      <c r="N31" s="161"/>
    </row>
    <row r="32" spans="3:14">
      <c r="C32" s="18">
        <f t="shared" si="0"/>
        <v>15</v>
      </c>
      <c r="D32" s="18" t="s">
        <v>71</v>
      </c>
      <c r="E32" s="164">
        <v>63</v>
      </c>
      <c r="F32" s="164" t="s">
        <v>523</v>
      </c>
      <c r="G32" s="164" t="s">
        <v>1222</v>
      </c>
      <c r="H32" s="55">
        <v>25.8</v>
      </c>
      <c r="I32" s="164" t="s">
        <v>276</v>
      </c>
      <c r="J32" s="18">
        <v>1.5</v>
      </c>
      <c r="K32" s="30">
        <v>3.3</v>
      </c>
      <c r="L32" s="18">
        <v>4.8</v>
      </c>
      <c r="M32" s="161"/>
      <c r="N32" s="161"/>
    </row>
    <row r="33" spans="3:14">
      <c r="C33" s="18">
        <f t="shared" si="0"/>
        <v>16</v>
      </c>
      <c r="D33" s="18" t="s">
        <v>71</v>
      </c>
      <c r="E33" s="164">
        <v>63</v>
      </c>
      <c r="F33" s="164" t="s">
        <v>1222</v>
      </c>
      <c r="G33" s="164" t="s">
        <v>1223</v>
      </c>
      <c r="H33" s="55">
        <v>35.700000000000003</v>
      </c>
      <c r="I33" s="164" t="s">
        <v>276</v>
      </c>
      <c r="J33" s="18">
        <v>1.5</v>
      </c>
      <c r="K33" s="30">
        <v>3.3</v>
      </c>
      <c r="L33" s="18">
        <v>4.8</v>
      </c>
      <c r="M33" s="161"/>
      <c r="N33" s="161"/>
    </row>
    <row r="34" spans="3:14">
      <c r="C34" s="18">
        <f t="shared" si="0"/>
        <v>17</v>
      </c>
      <c r="D34" s="18" t="s">
        <v>71</v>
      </c>
      <c r="E34" s="164">
        <v>63</v>
      </c>
      <c r="F34" s="164" t="s">
        <v>1222</v>
      </c>
      <c r="G34" s="164" t="s">
        <v>1224</v>
      </c>
      <c r="H34" s="55">
        <v>36.5</v>
      </c>
      <c r="I34" s="164" t="s">
        <v>276</v>
      </c>
      <c r="J34" s="18">
        <v>1.5</v>
      </c>
      <c r="K34" s="30">
        <v>3.3</v>
      </c>
      <c r="L34" s="18">
        <v>4.8</v>
      </c>
      <c r="M34" s="161"/>
      <c r="N34" s="161"/>
    </row>
    <row r="35" spans="3:14">
      <c r="C35" s="18">
        <f t="shared" si="0"/>
        <v>18</v>
      </c>
      <c r="D35" s="18" t="s">
        <v>71</v>
      </c>
      <c r="E35" s="164">
        <v>63</v>
      </c>
      <c r="F35" s="164" t="s">
        <v>726</v>
      </c>
      <c r="G35" s="164" t="s">
        <v>669</v>
      </c>
      <c r="H35" s="55">
        <f>107.5+8</f>
        <v>115.5</v>
      </c>
      <c r="I35" s="164" t="s">
        <v>276</v>
      </c>
      <c r="J35" s="18">
        <v>1.5</v>
      </c>
      <c r="K35" s="30">
        <v>3.3</v>
      </c>
      <c r="L35" s="18">
        <v>4.8</v>
      </c>
      <c r="M35" s="161"/>
      <c r="N35" s="161"/>
    </row>
    <row r="36" spans="3:14">
      <c r="C36" s="18">
        <f t="shared" si="0"/>
        <v>19</v>
      </c>
      <c r="D36" s="18" t="s">
        <v>71</v>
      </c>
      <c r="E36" s="164">
        <v>63</v>
      </c>
      <c r="F36" s="164" t="s">
        <v>669</v>
      </c>
      <c r="G36" s="164" t="s">
        <v>1151</v>
      </c>
      <c r="H36" s="55">
        <v>73.8</v>
      </c>
      <c r="I36" s="164" t="s">
        <v>276</v>
      </c>
      <c r="J36" s="18">
        <v>1.5</v>
      </c>
      <c r="K36" s="30">
        <v>3.3</v>
      </c>
      <c r="L36" s="18">
        <v>4.8</v>
      </c>
      <c r="M36" s="161"/>
      <c r="N36" s="161"/>
    </row>
    <row r="37" spans="3:14">
      <c r="C37" s="18">
        <f t="shared" si="0"/>
        <v>20</v>
      </c>
      <c r="D37" s="18" t="s">
        <v>71</v>
      </c>
      <c r="E37" s="164">
        <v>63</v>
      </c>
      <c r="F37" s="164" t="s">
        <v>669</v>
      </c>
      <c r="G37" s="164" t="s">
        <v>868</v>
      </c>
      <c r="H37" s="55">
        <f>282.8+12</f>
        <v>294.8</v>
      </c>
      <c r="I37" s="164" t="s">
        <v>276</v>
      </c>
      <c r="J37" s="18">
        <v>1.5</v>
      </c>
      <c r="K37" s="30">
        <v>3.3</v>
      </c>
      <c r="L37" s="18">
        <v>4.8</v>
      </c>
      <c r="M37" s="161"/>
      <c r="N37" s="161"/>
    </row>
    <row r="38" spans="3:14">
      <c r="C38" s="18">
        <f t="shared" si="0"/>
        <v>21</v>
      </c>
      <c r="D38" s="18" t="s">
        <v>71</v>
      </c>
      <c r="E38" s="164">
        <v>63</v>
      </c>
      <c r="F38" s="164" t="s">
        <v>868</v>
      </c>
      <c r="G38" s="164" t="s">
        <v>164</v>
      </c>
      <c r="H38" s="55">
        <f>21.5+19.8</f>
        <v>41.3</v>
      </c>
      <c r="I38" s="164" t="s">
        <v>276</v>
      </c>
      <c r="J38" s="18">
        <v>1.5</v>
      </c>
      <c r="K38" s="30">
        <v>3.3</v>
      </c>
      <c r="L38" s="18">
        <v>4.8</v>
      </c>
      <c r="M38" s="161"/>
      <c r="N38" s="161"/>
    </row>
    <row r="39" spans="3:14">
      <c r="C39" s="18">
        <f t="shared" si="0"/>
        <v>22</v>
      </c>
      <c r="D39" s="18" t="s">
        <v>71</v>
      </c>
      <c r="E39" s="164">
        <v>63</v>
      </c>
      <c r="F39" s="164" t="s">
        <v>868</v>
      </c>
      <c r="G39" s="164" t="s">
        <v>1225</v>
      </c>
      <c r="H39" s="55">
        <f>162.6+8</f>
        <v>170.6</v>
      </c>
      <c r="I39" s="164" t="s">
        <v>276</v>
      </c>
      <c r="J39" s="18">
        <v>1.5</v>
      </c>
      <c r="K39" s="30">
        <v>3.3</v>
      </c>
      <c r="L39" s="18">
        <v>4.8</v>
      </c>
      <c r="M39" s="161"/>
      <c r="N39" s="161"/>
    </row>
    <row r="40" spans="3:14">
      <c r="C40" s="18">
        <f t="shared" si="0"/>
        <v>23</v>
      </c>
      <c r="D40" s="18" t="s">
        <v>71</v>
      </c>
      <c r="E40" s="164">
        <v>63</v>
      </c>
      <c r="F40" s="164" t="s">
        <v>868</v>
      </c>
      <c r="G40" s="164" t="s">
        <v>1225</v>
      </c>
      <c r="H40" s="55">
        <v>4.7</v>
      </c>
      <c r="I40" s="164" t="s">
        <v>276</v>
      </c>
      <c r="J40" s="18">
        <v>1.5</v>
      </c>
      <c r="K40" s="30">
        <v>3.3</v>
      </c>
      <c r="L40" s="18">
        <v>4.8</v>
      </c>
      <c r="M40" s="161"/>
      <c r="N40" s="161"/>
    </row>
    <row r="41" spans="3:14">
      <c r="C41" s="18">
        <f t="shared" si="0"/>
        <v>24</v>
      </c>
      <c r="D41" s="18" t="s">
        <v>71</v>
      </c>
      <c r="E41" s="164">
        <v>63</v>
      </c>
      <c r="F41" s="164" t="s">
        <v>1225</v>
      </c>
      <c r="G41" s="164" t="s">
        <v>761</v>
      </c>
      <c r="H41" s="55">
        <v>4.7</v>
      </c>
      <c r="I41" s="164" t="s">
        <v>276</v>
      </c>
      <c r="J41" s="18">
        <v>1.5</v>
      </c>
      <c r="K41" s="30">
        <v>3.3</v>
      </c>
      <c r="L41" s="18">
        <v>4.8</v>
      </c>
      <c r="M41" s="161"/>
      <c r="N41" s="161"/>
    </row>
    <row r="42" spans="3:14">
      <c r="C42" s="18">
        <f t="shared" si="0"/>
        <v>25</v>
      </c>
      <c r="D42" s="18" t="s">
        <v>71</v>
      </c>
      <c r="E42" s="164">
        <v>63</v>
      </c>
      <c r="F42" s="164" t="s">
        <v>1225</v>
      </c>
      <c r="G42" s="164" t="s">
        <v>761</v>
      </c>
      <c r="H42" s="55">
        <v>50.6</v>
      </c>
      <c r="I42" s="164" t="s">
        <v>276</v>
      </c>
      <c r="J42" s="18">
        <v>1.5</v>
      </c>
      <c r="K42" s="30">
        <v>3.3</v>
      </c>
      <c r="L42" s="18">
        <v>4.8</v>
      </c>
      <c r="M42" s="161"/>
      <c r="N42" s="161"/>
    </row>
    <row r="43" spans="3:14">
      <c r="C43" s="18">
        <f t="shared" si="0"/>
        <v>26</v>
      </c>
      <c r="D43" s="18" t="s">
        <v>71</v>
      </c>
      <c r="E43" s="164">
        <v>63</v>
      </c>
      <c r="F43" s="164" t="s">
        <v>1225</v>
      </c>
      <c r="G43" s="164" t="s">
        <v>81</v>
      </c>
      <c r="H43" s="55">
        <f>100.8+8</f>
        <v>108.8</v>
      </c>
      <c r="I43" s="164" t="s">
        <v>276</v>
      </c>
      <c r="J43" s="18">
        <v>1.5</v>
      </c>
      <c r="K43" s="30">
        <v>3.3</v>
      </c>
      <c r="L43" s="18">
        <v>4.8</v>
      </c>
      <c r="M43" s="161"/>
      <c r="N43" s="161"/>
    </row>
    <row r="44" spans="3:14">
      <c r="C44" s="18">
        <f t="shared" si="0"/>
        <v>27</v>
      </c>
      <c r="D44" s="18" t="s">
        <v>71</v>
      </c>
      <c r="E44" s="164">
        <v>63</v>
      </c>
      <c r="F44" s="164" t="s">
        <v>81</v>
      </c>
      <c r="G44" s="164" t="s">
        <v>994</v>
      </c>
      <c r="H44" s="55">
        <v>5.2</v>
      </c>
      <c r="I44" s="164" t="s">
        <v>276</v>
      </c>
      <c r="J44" s="18">
        <v>1.5</v>
      </c>
      <c r="K44" s="30">
        <v>3.3</v>
      </c>
      <c r="L44" s="18">
        <v>4.8</v>
      </c>
      <c r="M44" s="161"/>
      <c r="N44" s="161"/>
    </row>
    <row r="45" spans="3:14">
      <c r="C45" s="18">
        <f t="shared" si="0"/>
        <v>28</v>
      </c>
      <c r="D45" s="18" t="s">
        <v>71</v>
      </c>
      <c r="E45" s="164">
        <v>63</v>
      </c>
      <c r="F45" s="164" t="s">
        <v>81</v>
      </c>
      <c r="G45" s="164" t="s">
        <v>994</v>
      </c>
      <c r="H45" s="55">
        <f>355.7+14</f>
        <v>369.7</v>
      </c>
      <c r="I45" s="164" t="s">
        <v>276</v>
      </c>
      <c r="J45" s="18">
        <v>1.5</v>
      </c>
      <c r="K45" s="30">
        <v>3.3</v>
      </c>
      <c r="L45" s="18">
        <v>4.8</v>
      </c>
      <c r="M45" s="161"/>
      <c r="N45" s="161"/>
    </row>
    <row r="46" spans="3:14">
      <c r="C46" s="18">
        <f t="shared" si="0"/>
        <v>29</v>
      </c>
      <c r="D46" s="18" t="s">
        <v>71</v>
      </c>
      <c r="E46" s="164">
        <v>63</v>
      </c>
      <c r="F46" s="164" t="s">
        <v>994</v>
      </c>
      <c r="G46" s="164" t="s">
        <v>684</v>
      </c>
      <c r="H46" s="55">
        <v>47.7</v>
      </c>
      <c r="I46" s="164" t="s">
        <v>276</v>
      </c>
      <c r="J46" s="18">
        <v>1.5</v>
      </c>
      <c r="K46" s="30">
        <v>3.3</v>
      </c>
      <c r="L46" s="18">
        <v>4.8</v>
      </c>
      <c r="M46" s="161"/>
      <c r="N46" s="161"/>
    </row>
    <row r="47" spans="3:14">
      <c r="C47" s="18">
        <f t="shared" si="0"/>
        <v>30</v>
      </c>
      <c r="D47" s="18" t="s">
        <v>71</v>
      </c>
      <c r="E47" s="164">
        <v>63</v>
      </c>
      <c r="F47" s="164" t="s">
        <v>994</v>
      </c>
      <c r="G47" s="164" t="s">
        <v>1226</v>
      </c>
      <c r="H47" s="55">
        <f>113.4+7</f>
        <v>120.4</v>
      </c>
      <c r="I47" s="164" t="s">
        <v>276</v>
      </c>
      <c r="J47" s="18">
        <v>1.5</v>
      </c>
      <c r="K47" s="30">
        <v>3.3</v>
      </c>
      <c r="L47" s="18">
        <v>4.8</v>
      </c>
      <c r="M47" s="161"/>
      <c r="N47" s="161"/>
    </row>
    <row r="48" spans="3:14">
      <c r="C48" s="18">
        <f t="shared" si="0"/>
        <v>31</v>
      </c>
      <c r="D48" s="18" t="s">
        <v>71</v>
      </c>
      <c r="E48" s="164">
        <v>63</v>
      </c>
      <c r="F48" s="164" t="s">
        <v>1226</v>
      </c>
      <c r="G48" s="164" t="s">
        <v>1227</v>
      </c>
      <c r="H48" s="55">
        <v>3.3</v>
      </c>
      <c r="I48" s="164" t="s">
        <v>276</v>
      </c>
      <c r="J48" s="18">
        <v>1.5</v>
      </c>
      <c r="K48" s="30">
        <v>3.3</v>
      </c>
      <c r="L48" s="18">
        <v>4.8</v>
      </c>
      <c r="M48" s="161"/>
      <c r="N48" s="161"/>
    </row>
    <row r="49" spans="3:14">
      <c r="C49" s="18">
        <f t="shared" si="0"/>
        <v>32</v>
      </c>
      <c r="D49" s="18" t="s">
        <v>71</v>
      </c>
      <c r="E49" s="164">
        <v>63</v>
      </c>
      <c r="F49" s="164" t="s">
        <v>1226</v>
      </c>
      <c r="G49" s="164" t="s">
        <v>1227</v>
      </c>
      <c r="H49" s="55">
        <v>36.9</v>
      </c>
      <c r="I49" s="164" t="s">
        <v>276</v>
      </c>
      <c r="J49" s="18">
        <v>1.5</v>
      </c>
      <c r="K49" s="30">
        <v>3.3</v>
      </c>
      <c r="L49" s="18">
        <v>4.8</v>
      </c>
      <c r="M49" s="161"/>
      <c r="N49" s="161"/>
    </row>
    <row r="50" spans="3:14">
      <c r="C50" s="18">
        <f t="shared" si="0"/>
        <v>33</v>
      </c>
      <c r="D50" s="18" t="s">
        <v>71</v>
      </c>
      <c r="E50" s="164">
        <v>63</v>
      </c>
      <c r="F50" s="164" t="s">
        <v>1226</v>
      </c>
      <c r="G50" s="164" t="s">
        <v>1228</v>
      </c>
      <c r="H50" s="55">
        <v>66.7</v>
      </c>
      <c r="I50" s="164" t="s">
        <v>276</v>
      </c>
      <c r="J50" s="18">
        <v>1.5</v>
      </c>
      <c r="K50" s="30">
        <v>3.3</v>
      </c>
      <c r="L50" s="18">
        <v>4.8</v>
      </c>
      <c r="M50" s="161"/>
      <c r="N50" s="161"/>
    </row>
    <row r="51" spans="3:14">
      <c r="C51" s="18">
        <f t="shared" si="0"/>
        <v>34</v>
      </c>
      <c r="D51" s="18" t="s">
        <v>71</v>
      </c>
      <c r="E51" s="164">
        <v>63</v>
      </c>
      <c r="F51" s="164" t="s">
        <v>1228</v>
      </c>
      <c r="G51" s="164" t="s">
        <v>1229</v>
      </c>
      <c r="H51" s="55">
        <v>3.2</v>
      </c>
      <c r="I51" s="164" t="s">
        <v>276</v>
      </c>
      <c r="J51" s="18">
        <v>1.5</v>
      </c>
      <c r="K51" s="30">
        <v>3.3</v>
      </c>
      <c r="L51" s="18">
        <v>4.8</v>
      </c>
      <c r="M51" s="161"/>
      <c r="N51" s="161"/>
    </row>
    <row r="52" spans="3:14">
      <c r="C52" s="18">
        <f t="shared" si="0"/>
        <v>35</v>
      </c>
      <c r="D52" s="18" t="s">
        <v>71</v>
      </c>
      <c r="E52" s="164">
        <v>63</v>
      </c>
      <c r="F52" s="164" t="s">
        <v>1228</v>
      </c>
      <c r="G52" s="164" t="s">
        <v>1229</v>
      </c>
      <c r="H52" s="55">
        <v>41.6</v>
      </c>
      <c r="I52" s="164" t="s">
        <v>276</v>
      </c>
      <c r="J52" s="18">
        <v>1.5</v>
      </c>
      <c r="K52" s="30">
        <v>3.3</v>
      </c>
      <c r="L52" s="18">
        <v>4.8</v>
      </c>
      <c r="M52" s="161"/>
      <c r="N52" s="161"/>
    </row>
    <row r="53" spans="3:14">
      <c r="C53" s="18">
        <f t="shared" si="0"/>
        <v>36</v>
      </c>
      <c r="D53" s="18" t="s">
        <v>71</v>
      </c>
      <c r="E53" s="164">
        <v>63</v>
      </c>
      <c r="F53" s="164" t="s">
        <v>1228</v>
      </c>
      <c r="G53" s="164" t="s">
        <v>1230</v>
      </c>
      <c r="H53" s="55">
        <v>67.400000000000006</v>
      </c>
      <c r="I53" s="164" t="s">
        <v>276</v>
      </c>
      <c r="J53" s="18">
        <v>1.5</v>
      </c>
      <c r="K53" s="30">
        <v>3.3</v>
      </c>
      <c r="L53" s="18">
        <v>4.8</v>
      </c>
      <c r="M53" s="161"/>
      <c r="N53" s="161"/>
    </row>
    <row r="54" spans="3:14">
      <c r="C54" s="18">
        <f t="shared" si="0"/>
        <v>37</v>
      </c>
      <c r="D54" s="18" t="s">
        <v>71</v>
      </c>
      <c r="E54" s="164">
        <v>63</v>
      </c>
      <c r="F54" s="164" t="s">
        <v>1230</v>
      </c>
      <c r="G54" s="164" t="s">
        <v>1231</v>
      </c>
      <c r="H54" s="55">
        <v>3</v>
      </c>
      <c r="I54" s="164" t="s">
        <v>276</v>
      </c>
      <c r="J54" s="18">
        <v>1.5</v>
      </c>
      <c r="K54" s="30">
        <v>3.3</v>
      </c>
      <c r="L54" s="18">
        <v>4.8</v>
      </c>
      <c r="M54" s="161"/>
      <c r="N54" s="161"/>
    </row>
    <row r="55" spans="3:14">
      <c r="C55" s="18">
        <f t="shared" si="0"/>
        <v>38</v>
      </c>
      <c r="D55" s="18" t="s">
        <v>71</v>
      </c>
      <c r="E55" s="164">
        <v>63</v>
      </c>
      <c r="F55" s="164" t="s">
        <v>1230</v>
      </c>
      <c r="G55" s="164" t="s">
        <v>1231</v>
      </c>
      <c r="H55" s="55">
        <v>26.8</v>
      </c>
      <c r="I55" s="164" t="s">
        <v>276</v>
      </c>
      <c r="J55" s="18">
        <v>1.5</v>
      </c>
      <c r="K55" s="30">
        <v>3.3</v>
      </c>
      <c r="L55" s="18">
        <v>4.8</v>
      </c>
      <c r="M55" s="161"/>
      <c r="N55" s="161"/>
    </row>
    <row r="56" spans="3:14">
      <c r="C56" s="18">
        <f t="shared" si="0"/>
        <v>39</v>
      </c>
      <c r="D56" s="18" t="s">
        <v>71</v>
      </c>
      <c r="E56" s="164">
        <v>63</v>
      </c>
      <c r="F56" s="164" t="s">
        <v>1230</v>
      </c>
      <c r="G56" s="164" t="s">
        <v>397</v>
      </c>
      <c r="H56" s="55">
        <v>46.1</v>
      </c>
      <c r="I56" s="164" t="s">
        <v>276</v>
      </c>
      <c r="J56" s="18">
        <v>1.5</v>
      </c>
      <c r="K56" s="30">
        <v>3.3</v>
      </c>
      <c r="L56" s="18">
        <v>4.8</v>
      </c>
      <c r="M56" s="161"/>
      <c r="N56" s="161"/>
    </row>
    <row r="57" spans="3:14">
      <c r="C57" s="18">
        <f t="shared" si="0"/>
        <v>40</v>
      </c>
      <c r="D57" s="18" t="s">
        <v>71</v>
      </c>
      <c r="E57" s="164">
        <v>63</v>
      </c>
      <c r="F57" s="164" t="s">
        <v>707</v>
      </c>
      <c r="G57" s="164" t="s">
        <v>1232</v>
      </c>
      <c r="H57" s="55">
        <v>20.100000000000001</v>
      </c>
      <c r="I57" s="164" t="s">
        <v>276</v>
      </c>
      <c r="J57" s="18">
        <v>1.5</v>
      </c>
      <c r="K57" s="30">
        <v>3.3</v>
      </c>
      <c r="L57" s="18">
        <v>4.8</v>
      </c>
      <c r="M57" s="161"/>
      <c r="N57" s="161"/>
    </row>
    <row r="58" spans="3:14">
      <c r="C58" s="18">
        <f t="shared" si="0"/>
        <v>41</v>
      </c>
      <c r="D58" s="18" t="s">
        <v>71</v>
      </c>
      <c r="E58" s="164">
        <v>63</v>
      </c>
      <c r="F58" s="164" t="s">
        <v>397</v>
      </c>
      <c r="G58" s="164" t="s">
        <v>154</v>
      </c>
      <c r="H58" s="55">
        <v>3</v>
      </c>
      <c r="I58" s="164" t="s">
        <v>276</v>
      </c>
      <c r="J58" s="18">
        <v>1.5</v>
      </c>
      <c r="K58" s="30">
        <v>3.3</v>
      </c>
      <c r="L58" s="18">
        <v>4.8</v>
      </c>
      <c r="M58" s="161"/>
      <c r="N58" s="161"/>
    </row>
    <row r="59" spans="3:14">
      <c r="C59" s="18">
        <f t="shared" si="0"/>
        <v>42</v>
      </c>
      <c r="D59" s="18" t="s">
        <v>71</v>
      </c>
      <c r="E59" s="164">
        <v>63</v>
      </c>
      <c r="F59" s="164" t="s">
        <v>397</v>
      </c>
      <c r="G59" s="164" t="s">
        <v>154</v>
      </c>
      <c r="H59" s="55">
        <v>43.5</v>
      </c>
      <c r="I59" s="164" t="s">
        <v>276</v>
      </c>
      <c r="J59" s="18">
        <v>1.5</v>
      </c>
      <c r="K59" s="30">
        <v>3.3</v>
      </c>
      <c r="L59" s="18">
        <v>4.8</v>
      </c>
      <c r="M59" s="161"/>
      <c r="N59" s="161"/>
    </row>
    <row r="60" spans="3:14">
      <c r="C60" s="18">
        <f t="shared" si="0"/>
        <v>43</v>
      </c>
      <c r="D60" s="18" t="s">
        <v>71</v>
      </c>
      <c r="E60" s="164">
        <v>63</v>
      </c>
      <c r="F60" s="164" t="s">
        <v>314</v>
      </c>
      <c r="G60" s="164" t="s">
        <v>730</v>
      </c>
      <c r="H60" s="55">
        <f>127.4+9</f>
        <v>136.4</v>
      </c>
      <c r="I60" s="164" t="s">
        <v>276</v>
      </c>
      <c r="J60" s="18">
        <v>1.5</v>
      </c>
      <c r="K60" s="30">
        <v>3.3</v>
      </c>
      <c r="L60" s="18">
        <v>4.8</v>
      </c>
      <c r="M60" s="161"/>
      <c r="N60" s="161"/>
    </row>
    <row r="61" spans="3:14">
      <c r="C61" s="18">
        <f t="shared" si="0"/>
        <v>44</v>
      </c>
      <c r="D61" s="18" t="s">
        <v>71</v>
      </c>
      <c r="E61" s="164">
        <v>63</v>
      </c>
      <c r="F61" s="164" t="s">
        <v>1215</v>
      </c>
      <c r="G61" s="164" t="s">
        <v>1004</v>
      </c>
      <c r="H61" s="55">
        <f>210.1+9</f>
        <v>219.1</v>
      </c>
      <c r="I61" s="164" t="s">
        <v>276</v>
      </c>
      <c r="J61" s="18">
        <v>1.5</v>
      </c>
      <c r="K61" s="30">
        <v>3.3</v>
      </c>
      <c r="L61" s="18">
        <v>4.8</v>
      </c>
      <c r="M61" s="161"/>
      <c r="N61" s="161"/>
    </row>
    <row r="62" spans="3:14">
      <c r="C62" s="18">
        <f t="shared" si="0"/>
        <v>45</v>
      </c>
      <c r="D62" s="18" t="s">
        <v>71</v>
      </c>
      <c r="E62" s="164">
        <v>63</v>
      </c>
      <c r="F62" s="164" t="s">
        <v>1004</v>
      </c>
      <c r="G62" s="164" t="s">
        <v>1233</v>
      </c>
      <c r="H62" s="55">
        <v>31.5</v>
      </c>
      <c r="I62" s="164" t="s">
        <v>276</v>
      </c>
      <c r="J62" s="18">
        <v>1.5</v>
      </c>
      <c r="K62" s="30">
        <v>3.3</v>
      </c>
      <c r="L62" s="18">
        <v>4.8</v>
      </c>
      <c r="M62" s="161"/>
      <c r="N62" s="161"/>
    </row>
    <row r="63" spans="3:14">
      <c r="C63" s="18">
        <f t="shared" si="0"/>
        <v>46</v>
      </c>
      <c r="D63" s="18" t="s">
        <v>71</v>
      </c>
      <c r="E63" s="164">
        <v>63</v>
      </c>
      <c r="F63" s="164" t="s">
        <v>1233</v>
      </c>
      <c r="G63" s="164" t="s">
        <v>1234</v>
      </c>
      <c r="H63" s="55">
        <v>3</v>
      </c>
      <c r="I63" s="164" t="s">
        <v>276</v>
      </c>
      <c r="J63" s="18">
        <v>1.5</v>
      </c>
      <c r="K63" s="30">
        <v>3.3</v>
      </c>
      <c r="L63" s="18">
        <v>4.8</v>
      </c>
      <c r="M63" s="161"/>
      <c r="N63" s="161"/>
    </row>
    <row r="64" spans="3:14">
      <c r="C64" s="18">
        <f t="shared" si="0"/>
        <v>47</v>
      </c>
      <c r="D64" s="18" t="s">
        <v>71</v>
      </c>
      <c r="E64" s="164">
        <v>63</v>
      </c>
      <c r="F64" s="164" t="s">
        <v>1233</v>
      </c>
      <c r="G64" s="164" t="s">
        <v>1234</v>
      </c>
      <c r="H64" s="55">
        <v>47.2</v>
      </c>
      <c r="I64" s="164" t="s">
        <v>276</v>
      </c>
      <c r="J64" s="18">
        <v>1.5</v>
      </c>
      <c r="K64" s="30">
        <v>3.3</v>
      </c>
      <c r="L64" s="18">
        <v>4.8</v>
      </c>
      <c r="M64" s="161"/>
      <c r="N64" s="161"/>
    </row>
    <row r="65" spans="3:14">
      <c r="C65" s="18">
        <f t="shared" si="0"/>
        <v>48</v>
      </c>
      <c r="D65" s="18" t="s">
        <v>71</v>
      </c>
      <c r="E65" s="164">
        <v>63</v>
      </c>
      <c r="F65" s="164" t="s">
        <v>1233</v>
      </c>
      <c r="G65" s="164" t="s">
        <v>663</v>
      </c>
      <c r="H65" s="55">
        <v>92.1</v>
      </c>
      <c r="I65" s="164" t="s">
        <v>276</v>
      </c>
      <c r="J65" s="18">
        <v>1.5</v>
      </c>
      <c r="K65" s="30">
        <v>3.3</v>
      </c>
      <c r="L65" s="18">
        <v>4.8</v>
      </c>
      <c r="M65" s="161"/>
      <c r="N65" s="161"/>
    </row>
    <row r="66" spans="3:14">
      <c r="C66" s="18">
        <f t="shared" si="0"/>
        <v>49</v>
      </c>
      <c r="D66" s="18" t="s">
        <v>71</v>
      </c>
      <c r="E66" s="164">
        <v>63</v>
      </c>
      <c r="F66" s="164" t="s">
        <v>1004</v>
      </c>
      <c r="G66" s="164" t="s">
        <v>1225</v>
      </c>
      <c r="H66" s="55">
        <v>7.8</v>
      </c>
      <c r="I66" s="164" t="s">
        <v>276</v>
      </c>
      <c r="J66" s="18">
        <v>1.5</v>
      </c>
      <c r="K66" s="30">
        <v>3.3</v>
      </c>
      <c r="L66" s="18">
        <v>4.8</v>
      </c>
      <c r="M66" s="161"/>
      <c r="N66" s="161"/>
    </row>
    <row r="67" spans="3:14">
      <c r="C67" s="18">
        <f t="shared" si="0"/>
        <v>50</v>
      </c>
      <c r="D67" s="18" t="s">
        <v>71</v>
      </c>
      <c r="E67" s="164">
        <v>63</v>
      </c>
      <c r="F67" s="164" t="s">
        <v>1004</v>
      </c>
      <c r="G67" s="164" t="s">
        <v>1225</v>
      </c>
      <c r="H67" s="55">
        <f>120.8+8</f>
        <v>128.80000000000001</v>
      </c>
      <c r="I67" s="164" t="s">
        <v>276</v>
      </c>
      <c r="J67" s="18">
        <v>1.5</v>
      </c>
      <c r="K67" s="30">
        <v>3.3</v>
      </c>
      <c r="L67" s="18">
        <v>4.8</v>
      </c>
      <c r="M67" s="161"/>
      <c r="N67" s="161"/>
    </row>
    <row r="68" spans="3:14">
      <c r="C68" s="18"/>
      <c r="D68" s="18"/>
      <c r="E68" s="19"/>
      <c r="F68" s="19"/>
      <c r="G68" s="19"/>
      <c r="H68" s="164"/>
      <c r="I68" s="164"/>
      <c r="J68" s="18"/>
      <c r="K68" s="30"/>
      <c r="L68" s="18"/>
      <c r="M68" s="161"/>
      <c r="N68" s="161"/>
    </row>
    <row r="69" spans="3:14">
      <c r="C69" s="374"/>
      <c r="D69" s="374"/>
      <c r="E69" s="374"/>
      <c r="F69" s="374"/>
      <c r="G69" s="374"/>
      <c r="H69" s="374"/>
      <c r="I69" s="374"/>
      <c r="J69" s="374"/>
      <c r="K69" s="374"/>
      <c r="L69" s="374"/>
      <c r="M69" s="374"/>
      <c r="N69" s="374"/>
    </row>
    <row r="70" spans="3:14">
      <c r="C70" s="324"/>
      <c r="D70" s="324"/>
      <c r="E70" s="325" t="s">
        <v>86</v>
      </c>
      <c r="F70" s="325"/>
      <c r="G70" s="325"/>
      <c r="H70" s="325"/>
      <c r="I70" s="325" t="s">
        <v>87</v>
      </c>
      <c r="J70" s="325"/>
      <c r="K70" s="325"/>
      <c r="L70" s="325" t="s">
        <v>39</v>
      </c>
      <c r="M70" s="325"/>
      <c r="N70" s="325"/>
    </row>
    <row r="71" spans="3:14">
      <c r="C71" s="295" t="s">
        <v>40</v>
      </c>
      <c r="D71" s="295"/>
      <c r="E71" s="317"/>
      <c r="F71" s="317"/>
      <c r="G71" s="317"/>
      <c r="H71" s="317"/>
      <c r="I71" s="317"/>
      <c r="J71" s="317"/>
      <c r="K71" s="317"/>
      <c r="L71" s="317"/>
      <c r="M71" s="317"/>
      <c r="N71" s="317"/>
    </row>
    <row r="72" spans="3:14">
      <c r="C72" s="295" t="s">
        <v>41</v>
      </c>
      <c r="D72" s="295"/>
      <c r="E72" s="317"/>
      <c r="F72" s="317"/>
      <c r="G72" s="317"/>
      <c r="H72" s="317"/>
      <c r="I72" s="317"/>
      <c r="J72" s="317"/>
      <c r="K72" s="317"/>
      <c r="L72" s="317"/>
      <c r="M72" s="317"/>
      <c r="N72" s="317"/>
    </row>
    <row r="73" spans="3:14">
      <c r="C73" s="295" t="s">
        <v>42</v>
      </c>
      <c r="D73" s="295"/>
      <c r="E73" s="317"/>
      <c r="F73" s="317"/>
      <c r="G73" s="317"/>
      <c r="H73" s="317"/>
      <c r="I73" s="317"/>
      <c r="J73" s="317"/>
      <c r="K73" s="317"/>
      <c r="L73" s="317"/>
      <c r="M73" s="317"/>
      <c r="N73" s="317"/>
    </row>
    <row r="74" spans="3:14">
      <c r="C74" s="295" t="s">
        <v>43</v>
      </c>
      <c r="D74" s="295"/>
      <c r="E74" s="315"/>
      <c r="F74" s="316"/>
      <c r="G74" s="316"/>
      <c r="H74" s="316"/>
      <c r="I74" s="317"/>
      <c r="J74" s="317"/>
      <c r="K74" s="317"/>
      <c r="L74" s="317"/>
      <c r="M74" s="317"/>
      <c r="N74" s="317"/>
    </row>
    <row r="75" spans="3:14" ht="15.75" thickBot="1"/>
    <row r="76" spans="3:14">
      <c r="C76" s="206"/>
      <c r="D76" s="211" t="s">
        <v>44</v>
      </c>
      <c r="E76" s="212"/>
      <c r="F76" s="212"/>
      <c r="G76" s="212"/>
      <c r="H76" s="212"/>
      <c r="I76" s="212"/>
      <c r="J76" s="212"/>
      <c r="K76" s="212"/>
      <c r="L76" s="20"/>
      <c r="M76" s="20"/>
      <c r="N76" s="21"/>
    </row>
    <row r="77" spans="3:14">
      <c r="C77" s="207"/>
      <c r="D77" s="214"/>
      <c r="E77" s="215"/>
      <c r="F77" s="215"/>
      <c r="G77" s="215"/>
      <c r="H77" s="215"/>
      <c r="I77" s="215"/>
      <c r="J77" s="215"/>
      <c r="K77" s="215"/>
      <c r="N77" s="22"/>
    </row>
    <row r="78" spans="3:14">
      <c r="C78" s="207"/>
      <c r="D78" s="214"/>
      <c r="E78" s="215"/>
      <c r="F78" s="215"/>
      <c r="G78" s="215"/>
      <c r="H78" s="215"/>
      <c r="I78" s="215"/>
      <c r="J78" s="215"/>
      <c r="K78" s="215"/>
      <c r="N78" s="22"/>
    </row>
    <row r="79" spans="3:14">
      <c r="C79" s="207"/>
      <c r="D79" s="289"/>
      <c r="E79" s="290"/>
      <c r="F79" s="290"/>
      <c r="G79" s="290"/>
      <c r="H79" s="290"/>
      <c r="I79" s="290"/>
      <c r="J79" s="290"/>
      <c r="K79" s="290"/>
      <c r="N79" s="22"/>
    </row>
    <row r="80" spans="3:14" ht="16.5">
      <c r="C80" s="223" t="s">
        <v>45</v>
      </c>
      <c r="D80" s="224"/>
      <c r="E80" s="159" t="s">
        <v>46</v>
      </c>
      <c r="F80" s="160"/>
      <c r="G80" s="160"/>
      <c r="H80" s="160"/>
      <c r="I80" s="160"/>
      <c r="J80" s="160"/>
      <c r="K80" s="160"/>
      <c r="L80" s="160"/>
      <c r="M80" s="160"/>
      <c r="N80" s="23"/>
    </row>
    <row r="81" spans="3:17" ht="16.5">
      <c r="C81" s="223" t="s">
        <v>48</v>
      </c>
      <c r="D81" s="224"/>
      <c r="E81" s="159" t="s">
        <v>49</v>
      </c>
      <c r="F81" s="160"/>
      <c r="G81" s="160"/>
      <c r="H81" s="160"/>
      <c r="I81" s="160"/>
      <c r="J81" s="160"/>
      <c r="K81" s="160"/>
      <c r="L81" s="160"/>
      <c r="M81" s="160"/>
      <c r="N81" s="23"/>
    </row>
    <row r="82" spans="3:17" ht="16.5">
      <c r="C82" s="225" t="s">
        <v>50</v>
      </c>
      <c r="D82" s="226"/>
      <c r="E82" s="159" t="s">
        <v>51</v>
      </c>
      <c r="F82" s="160"/>
      <c r="G82" s="160"/>
      <c r="H82" s="160"/>
      <c r="I82" s="160"/>
      <c r="J82" s="160"/>
      <c r="K82" s="160"/>
      <c r="L82" s="160"/>
      <c r="M82" s="160"/>
      <c r="N82" s="23"/>
    </row>
    <row r="83" spans="3:17" ht="16.5">
      <c r="C83" s="223" t="s">
        <v>52</v>
      </c>
      <c r="D83" s="224"/>
      <c r="E83" s="159" t="s">
        <v>53</v>
      </c>
      <c r="F83" s="160"/>
      <c r="G83" s="160"/>
      <c r="H83" s="160"/>
      <c r="I83" s="160"/>
      <c r="J83" s="160"/>
      <c r="K83" s="160"/>
      <c r="L83" s="160"/>
      <c r="M83" s="160"/>
      <c r="N83" s="23"/>
    </row>
    <row r="84" spans="3:17" ht="15.75">
      <c r="C84" s="227" t="s">
        <v>1214</v>
      </c>
      <c r="D84" s="228"/>
      <c r="E84" s="228"/>
      <c r="F84" s="228"/>
      <c r="G84" s="228"/>
      <c r="H84" s="228"/>
      <c r="I84" s="228"/>
      <c r="J84" s="228"/>
      <c r="K84" s="228"/>
      <c r="L84" s="228"/>
      <c r="M84" s="228"/>
      <c r="N84" s="229"/>
      <c r="P84" s="171"/>
      <c r="Q84" s="172"/>
    </row>
    <row r="85" spans="3:17" ht="15.75">
      <c r="C85" s="11" t="s">
        <v>55</v>
      </c>
      <c r="E85" s="12"/>
      <c r="F85" s="12"/>
      <c r="G85" s="12"/>
      <c r="H85" s="12"/>
      <c r="I85" s="24" t="s">
        <v>56</v>
      </c>
      <c r="J85" s="25"/>
      <c r="K85" s="12"/>
      <c r="L85" s="12"/>
      <c r="M85" s="12"/>
      <c r="N85" s="26"/>
    </row>
    <row r="86" spans="3:17">
      <c r="C86" s="217"/>
      <c r="D86" s="218"/>
      <c r="E86" s="218"/>
      <c r="F86" s="218"/>
      <c r="G86" s="218"/>
      <c r="H86" s="218"/>
      <c r="I86" s="218"/>
      <c r="J86" s="218"/>
      <c r="K86" s="218"/>
      <c r="L86" s="218"/>
      <c r="M86" s="218"/>
      <c r="N86" s="219"/>
    </row>
    <row r="87" spans="3:17" ht="15.75">
      <c r="C87" s="162" t="s">
        <v>103</v>
      </c>
      <c r="D87" s="355"/>
      <c r="E87" s="356"/>
      <c r="F87" s="356"/>
      <c r="G87" s="356"/>
      <c r="H87" s="357"/>
      <c r="I87" s="368" t="s">
        <v>542</v>
      </c>
      <c r="J87" s="369"/>
      <c r="K87" s="369"/>
      <c r="L87" s="369"/>
      <c r="M87" s="369"/>
      <c r="N87" s="370"/>
    </row>
    <row r="88" spans="3:17">
      <c r="C88" s="329" t="s">
        <v>59</v>
      </c>
      <c r="D88" s="209" t="s">
        <v>60</v>
      </c>
      <c r="E88" s="209" t="s">
        <v>659</v>
      </c>
      <c r="F88" s="209" t="s">
        <v>62</v>
      </c>
      <c r="G88" s="209" t="s">
        <v>63</v>
      </c>
      <c r="H88" s="209" t="s">
        <v>64</v>
      </c>
      <c r="I88" s="209" t="s">
        <v>65</v>
      </c>
      <c r="J88" s="342" t="s">
        <v>66</v>
      </c>
      <c r="K88" s="343"/>
      <c r="L88" s="344"/>
      <c r="M88" s="209" t="s">
        <v>30</v>
      </c>
      <c r="N88" s="328" t="s">
        <v>67</v>
      </c>
    </row>
    <row r="89" spans="3:17" ht="60">
      <c r="C89" s="359"/>
      <c r="D89" s="292"/>
      <c r="E89" s="292"/>
      <c r="F89" s="292"/>
      <c r="G89" s="292"/>
      <c r="H89" s="292"/>
      <c r="I89" s="292"/>
      <c r="J89" s="163" t="s">
        <v>68</v>
      </c>
      <c r="K89" s="28" t="s">
        <v>999</v>
      </c>
      <c r="L89" s="163" t="s">
        <v>70</v>
      </c>
      <c r="M89" s="292"/>
      <c r="N89" s="360"/>
    </row>
    <row r="90" spans="3:17">
      <c r="C90" s="18">
        <v>1</v>
      </c>
      <c r="D90" s="18" t="s">
        <v>71</v>
      </c>
      <c r="E90" s="164">
        <v>63</v>
      </c>
      <c r="F90" s="164" t="s">
        <v>81</v>
      </c>
      <c r="G90" s="164" t="s">
        <v>724</v>
      </c>
      <c r="H90" s="55">
        <v>76.599999999999994</v>
      </c>
      <c r="I90" s="164" t="s">
        <v>106</v>
      </c>
      <c r="J90" s="18">
        <v>1.2</v>
      </c>
      <c r="K90" s="30">
        <v>3.1</v>
      </c>
      <c r="L90" s="18">
        <v>4.3</v>
      </c>
      <c r="M90" s="161"/>
      <c r="N90" s="161"/>
    </row>
    <row r="91" spans="3:17">
      <c r="C91" s="18">
        <f t="shared" ref="C91:C137" si="1">1+C90</f>
        <v>2</v>
      </c>
      <c r="D91" s="18" t="s">
        <v>71</v>
      </c>
      <c r="E91" s="164">
        <v>63</v>
      </c>
      <c r="F91" s="164" t="s">
        <v>1086</v>
      </c>
      <c r="G91" s="164" t="s">
        <v>354</v>
      </c>
      <c r="H91" s="55">
        <v>32.6</v>
      </c>
      <c r="I91" s="164" t="s">
        <v>106</v>
      </c>
      <c r="J91" s="18">
        <v>1.2</v>
      </c>
      <c r="K91" s="30">
        <v>3.1</v>
      </c>
      <c r="L91" s="18">
        <v>4.3</v>
      </c>
      <c r="M91" s="161"/>
      <c r="N91" s="161"/>
    </row>
    <row r="92" spans="3:17">
      <c r="C92" s="18">
        <f t="shared" si="1"/>
        <v>3</v>
      </c>
      <c r="D92" s="18" t="s">
        <v>71</v>
      </c>
      <c r="E92" s="164">
        <v>63</v>
      </c>
      <c r="F92" s="164" t="s">
        <v>183</v>
      </c>
      <c r="G92" s="164" t="s">
        <v>768</v>
      </c>
      <c r="H92" s="55">
        <v>27.1</v>
      </c>
      <c r="I92" s="164" t="s">
        <v>106</v>
      </c>
      <c r="J92" s="18">
        <v>1.2</v>
      </c>
      <c r="K92" s="30">
        <v>3.1</v>
      </c>
      <c r="L92" s="18">
        <v>4.3</v>
      </c>
      <c r="M92" s="161"/>
      <c r="N92" s="161"/>
    </row>
    <row r="93" spans="3:17">
      <c r="C93" s="18">
        <f t="shared" si="1"/>
        <v>4</v>
      </c>
      <c r="D93" s="18" t="s">
        <v>71</v>
      </c>
      <c r="E93" s="164">
        <v>63</v>
      </c>
      <c r="F93" s="164" t="s">
        <v>123</v>
      </c>
      <c r="G93" s="164" t="s">
        <v>409</v>
      </c>
      <c r="H93" s="55">
        <v>58.2</v>
      </c>
      <c r="I93" s="164" t="s">
        <v>106</v>
      </c>
      <c r="J93" s="18">
        <v>1.2</v>
      </c>
      <c r="K93" s="30">
        <v>3.1</v>
      </c>
      <c r="L93" s="18">
        <v>4.3</v>
      </c>
      <c r="M93" s="161"/>
      <c r="N93" s="161"/>
    </row>
    <row r="94" spans="3:17">
      <c r="C94" s="18">
        <f t="shared" si="1"/>
        <v>5</v>
      </c>
      <c r="D94" s="18" t="s">
        <v>71</v>
      </c>
      <c r="E94" s="164">
        <v>63</v>
      </c>
      <c r="F94" s="164" t="s">
        <v>409</v>
      </c>
      <c r="G94" s="164" t="s">
        <v>309</v>
      </c>
      <c r="H94" s="55">
        <v>130.19999999999999</v>
      </c>
      <c r="I94" s="164" t="s">
        <v>106</v>
      </c>
      <c r="J94" s="18">
        <v>1.2</v>
      </c>
      <c r="K94" s="30">
        <v>3.1</v>
      </c>
      <c r="L94" s="18">
        <v>4.3</v>
      </c>
      <c r="M94" s="161"/>
      <c r="N94" s="161"/>
    </row>
    <row r="95" spans="3:17">
      <c r="C95" s="18">
        <f t="shared" si="1"/>
        <v>6</v>
      </c>
      <c r="D95" s="18" t="s">
        <v>71</v>
      </c>
      <c r="E95" s="164">
        <v>63</v>
      </c>
      <c r="F95" s="164" t="s">
        <v>309</v>
      </c>
      <c r="G95" s="164" t="s">
        <v>188</v>
      </c>
      <c r="H95" s="55">
        <v>4</v>
      </c>
      <c r="I95" s="164" t="s">
        <v>106</v>
      </c>
      <c r="J95" s="18">
        <v>1.2</v>
      </c>
      <c r="K95" s="30">
        <v>3.1</v>
      </c>
      <c r="L95" s="18">
        <v>4.3</v>
      </c>
      <c r="M95" s="161"/>
      <c r="N95" s="161"/>
    </row>
    <row r="96" spans="3:17">
      <c r="C96" s="18">
        <f t="shared" si="1"/>
        <v>7</v>
      </c>
      <c r="D96" s="18" t="s">
        <v>71</v>
      </c>
      <c r="E96" s="164">
        <v>63</v>
      </c>
      <c r="F96" s="164" t="s">
        <v>309</v>
      </c>
      <c r="G96" s="164" t="s">
        <v>188</v>
      </c>
      <c r="H96" s="55">
        <v>110</v>
      </c>
      <c r="I96" s="164" t="s">
        <v>106</v>
      </c>
      <c r="J96" s="18">
        <v>1.2</v>
      </c>
      <c r="K96" s="30">
        <v>3.1</v>
      </c>
      <c r="L96" s="18">
        <v>4.3</v>
      </c>
      <c r="M96" s="161"/>
      <c r="N96" s="161"/>
    </row>
    <row r="97" spans="3:14">
      <c r="C97" s="18">
        <f t="shared" si="1"/>
        <v>8</v>
      </c>
      <c r="D97" s="18" t="s">
        <v>71</v>
      </c>
      <c r="E97" s="164">
        <v>63</v>
      </c>
      <c r="F97" s="164" t="s">
        <v>309</v>
      </c>
      <c r="G97" s="164" t="s">
        <v>216</v>
      </c>
      <c r="H97" s="55">
        <v>130.6</v>
      </c>
      <c r="I97" s="164" t="s">
        <v>106</v>
      </c>
      <c r="J97" s="18">
        <v>1.2</v>
      </c>
      <c r="K97" s="30">
        <v>3.1</v>
      </c>
      <c r="L97" s="18">
        <v>4.3</v>
      </c>
      <c r="M97" s="161"/>
      <c r="N97" s="161"/>
    </row>
    <row r="98" spans="3:14">
      <c r="C98" s="18">
        <f t="shared" si="1"/>
        <v>9</v>
      </c>
      <c r="D98" s="18" t="s">
        <v>71</v>
      </c>
      <c r="E98" s="164">
        <v>63</v>
      </c>
      <c r="F98" s="164" t="s">
        <v>377</v>
      </c>
      <c r="G98" s="164" t="s">
        <v>342</v>
      </c>
      <c r="H98" s="55">
        <v>21.3</v>
      </c>
      <c r="I98" s="164" t="s">
        <v>106</v>
      </c>
      <c r="J98" s="18">
        <v>1.2</v>
      </c>
      <c r="K98" s="30">
        <v>3.1</v>
      </c>
      <c r="L98" s="18">
        <v>4.3</v>
      </c>
      <c r="M98" s="161"/>
      <c r="N98" s="161"/>
    </row>
    <row r="99" spans="3:14">
      <c r="C99" s="18">
        <f t="shared" si="1"/>
        <v>10</v>
      </c>
      <c r="D99" s="18" t="s">
        <v>71</v>
      </c>
      <c r="E99" s="164">
        <v>63</v>
      </c>
      <c r="F99" s="164" t="s">
        <v>385</v>
      </c>
      <c r="G99" s="164" t="s">
        <v>754</v>
      </c>
      <c r="H99" s="55">
        <v>24.8</v>
      </c>
      <c r="I99" s="164" t="s">
        <v>106</v>
      </c>
      <c r="J99" s="18">
        <v>1.2</v>
      </c>
      <c r="K99" s="30">
        <v>3.1</v>
      </c>
      <c r="L99" s="18">
        <v>4.3</v>
      </c>
      <c r="M99" s="161"/>
      <c r="N99" s="161"/>
    </row>
    <row r="100" spans="3:14">
      <c r="C100" s="18">
        <f t="shared" si="1"/>
        <v>11</v>
      </c>
      <c r="D100" s="18" t="s">
        <v>71</v>
      </c>
      <c r="E100" s="164">
        <v>63</v>
      </c>
      <c r="F100" s="164" t="s">
        <v>220</v>
      </c>
      <c r="G100" s="164" t="s">
        <v>297</v>
      </c>
      <c r="H100" s="55">
        <v>116.4</v>
      </c>
      <c r="I100" s="164" t="s">
        <v>106</v>
      </c>
      <c r="J100" s="18">
        <v>1.2</v>
      </c>
      <c r="K100" s="30">
        <v>3.1</v>
      </c>
      <c r="L100" s="18">
        <v>4.3</v>
      </c>
      <c r="M100" s="161"/>
      <c r="N100" s="161"/>
    </row>
    <row r="101" spans="3:14">
      <c r="C101" s="18">
        <f t="shared" si="1"/>
        <v>12</v>
      </c>
      <c r="D101" s="18" t="s">
        <v>71</v>
      </c>
      <c r="E101" s="164">
        <v>63</v>
      </c>
      <c r="F101" s="164" t="s">
        <v>708</v>
      </c>
      <c r="G101" s="164" t="s">
        <v>122</v>
      </c>
      <c r="H101" s="55">
        <v>34.700000000000003</v>
      </c>
      <c r="I101" s="164" t="s">
        <v>106</v>
      </c>
      <c r="J101" s="18">
        <v>1.2</v>
      </c>
      <c r="K101" s="30">
        <v>3.1</v>
      </c>
      <c r="L101" s="18">
        <v>4.3</v>
      </c>
      <c r="M101" s="161"/>
      <c r="N101" s="161"/>
    </row>
    <row r="102" spans="3:14">
      <c r="C102" s="18">
        <f t="shared" si="1"/>
        <v>13</v>
      </c>
      <c r="D102" s="18" t="s">
        <v>71</v>
      </c>
      <c r="E102" s="164">
        <v>63</v>
      </c>
      <c r="F102" s="164" t="s">
        <v>141</v>
      </c>
      <c r="G102" s="164" t="s">
        <v>202</v>
      </c>
      <c r="H102" s="55">
        <v>166.4</v>
      </c>
      <c r="I102" s="164" t="s">
        <v>106</v>
      </c>
      <c r="J102" s="18">
        <v>1.2</v>
      </c>
      <c r="K102" s="30">
        <v>3.1</v>
      </c>
      <c r="L102" s="18">
        <v>4.3</v>
      </c>
      <c r="M102" s="161"/>
      <c r="N102" s="161"/>
    </row>
    <row r="103" spans="3:14">
      <c r="C103" s="18">
        <f t="shared" si="1"/>
        <v>14</v>
      </c>
      <c r="D103" s="18" t="s">
        <v>71</v>
      </c>
      <c r="E103" s="164">
        <v>63</v>
      </c>
      <c r="F103" s="164" t="s">
        <v>202</v>
      </c>
      <c r="G103" s="164" t="s">
        <v>224</v>
      </c>
      <c r="H103" s="55">
        <v>4.2</v>
      </c>
      <c r="I103" s="164" t="s">
        <v>106</v>
      </c>
      <c r="J103" s="18">
        <v>1.2</v>
      </c>
      <c r="K103" s="30">
        <v>3.1</v>
      </c>
      <c r="L103" s="18">
        <v>4.3</v>
      </c>
      <c r="M103" s="161"/>
      <c r="N103" s="161"/>
    </row>
    <row r="104" spans="3:14">
      <c r="C104" s="18">
        <f t="shared" si="1"/>
        <v>15</v>
      </c>
      <c r="D104" s="18" t="s">
        <v>71</v>
      </c>
      <c r="E104" s="164">
        <v>63</v>
      </c>
      <c r="F104" s="164" t="s">
        <v>202</v>
      </c>
      <c r="G104" s="164" t="s">
        <v>224</v>
      </c>
      <c r="H104" s="55">
        <v>80.599999999999994</v>
      </c>
      <c r="I104" s="164" t="s">
        <v>106</v>
      </c>
      <c r="J104" s="18">
        <v>1.2</v>
      </c>
      <c r="K104" s="30">
        <v>3.1</v>
      </c>
      <c r="L104" s="18">
        <v>4.3</v>
      </c>
      <c r="M104" s="161"/>
      <c r="N104" s="161"/>
    </row>
    <row r="105" spans="3:14">
      <c r="C105" s="18">
        <f t="shared" si="1"/>
        <v>16</v>
      </c>
      <c r="D105" s="18" t="s">
        <v>71</v>
      </c>
      <c r="E105" s="164">
        <v>63</v>
      </c>
      <c r="F105" s="164" t="s">
        <v>386</v>
      </c>
      <c r="G105" s="164" t="s">
        <v>230</v>
      </c>
      <c r="H105" s="55">
        <f>194.3+12</f>
        <v>206.3</v>
      </c>
      <c r="I105" s="164" t="s">
        <v>106</v>
      </c>
      <c r="J105" s="18">
        <v>1.2</v>
      </c>
      <c r="K105" s="30">
        <v>3.1</v>
      </c>
      <c r="L105" s="18">
        <v>4.3</v>
      </c>
      <c r="M105" s="161"/>
      <c r="N105" s="161"/>
    </row>
    <row r="106" spans="3:14">
      <c r="C106" s="18">
        <f t="shared" si="1"/>
        <v>17</v>
      </c>
      <c r="D106" s="18" t="s">
        <v>71</v>
      </c>
      <c r="E106" s="164">
        <v>63</v>
      </c>
      <c r="F106" s="164" t="s">
        <v>386</v>
      </c>
      <c r="G106" s="164" t="s">
        <v>665</v>
      </c>
      <c r="H106" s="55">
        <v>131.19999999999999</v>
      </c>
      <c r="I106" s="164" t="s">
        <v>106</v>
      </c>
      <c r="J106" s="18">
        <v>1.2</v>
      </c>
      <c r="K106" s="30">
        <v>3.1</v>
      </c>
      <c r="L106" s="18">
        <v>4.3</v>
      </c>
      <c r="M106" s="161"/>
      <c r="N106" s="161"/>
    </row>
    <row r="107" spans="3:14">
      <c r="C107" s="18">
        <f t="shared" si="1"/>
        <v>18</v>
      </c>
      <c r="D107" s="18" t="s">
        <v>71</v>
      </c>
      <c r="E107" s="164">
        <v>63</v>
      </c>
      <c r="F107" s="164" t="s">
        <v>665</v>
      </c>
      <c r="G107" s="164" t="s">
        <v>237</v>
      </c>
      <c r="H107" s="55">
        <v>10.8</v>
      </c>
      <c r="I107" s="164" t="s">
        <v>106</v>
      </c>
      <c r="J107" s="18">
        <v>1.2</v>
      </c>
      <c r="K107" s="30">
        <v>3.1</v>
      </c>
      <c r="L107" s="18">
        <v>4.3</v>
      </c>
      <c r="M107" s="161"/>
      <c r="N107" s="161"/>
    </row>
    <row r="108" spans="3:14">
      <c r="C108" s="18">
        <f t="shared" si="1"/>
        <v>19</v>
      </c>
      <c r="D108" s="18" t="s">
        <v>71</v>
      </c>
      <c r="E108" s="164">
        <v>63</v>
      </c>
      <c r="F108" s="164" t="s">
        <v>665</v>
      </c>
      <c r="G108" s="164" t="s">
        <v>699</v>
      </c>
      <c r="H108" s="55">
        <v>121.3</v>
      </c>
      <c r="I108" s="164" t="s">
        <v>106</v>
      </c>
      <c r="J108" s="18">
        <v>1.2</v>
      </c>
      <c r="K108" s="30">
        <v>3.1</v>
      </c>
      <c r="L108" s="18">
        <v>4.3</v>
      </c>
      <c r="M108" s="161"/>
      <c r="N108" s="161"/>
    </row>
    <row r="109" spans="3:14">
      <c r="C109" s="18">
        <f t="shared" si="1"/>
        <v>20</v>
      </c>
      <c r="D109" s="18" t="s">
        <v>71</v>
      </c>
      <c r="E109" s="164">
        <v>63</v>
      </c>
      <c r="F109" s="164" t="s">
        <v>665</v>
      </c>
      <c r="G109" s="164" t="s">
        <v>699</v>
      </c>
      <c r="H109" s="55">
        <v>3</v>
      </c>
      <c r="I109" s="164" t="s">
        <v>106</v>
      </c>
      <c r="J109" s="18">
        <v>1.2</v>
      </c>
      <c r="K109" s="30">
        <v>3.1</v>
      </c>
      <c r="L109" s="18">
        <v>4.3</v>
      </c>
      <c r="M109" s="161"/>
      <c r="N109" s="161"/>
    </row>
    <row r="110" spans="3:14">
      <c r="C110" s="18">
        <f t="shared" si="1"/>
        <v>21</v>
      </c>
      <c r="D110" s="18" t="s">
        <v>71</v>
      </c>
      <c r="E110" s="164">
        <v>63</v>
      </c>
      <c r="F110" s="164" t="s">
        <v>699</v>
      </c>
      <c r="G110" s="164" t="s">
        <v>505</v>
      </c>
      <c r="H110" s="55">
        <f>252.4+15</f>
        <v>267.39999999999998</v>
      </c>
      <c r="I110" s="164" t="s">
        <v>106</v>
      </c>
      <c r="J110" s="18">
        <v>1.2</v>
      </c>
      <c r="K110" s="30">
        <v>3.1</v>
      </c>
      <c r="L110" s="18">
        <v>4.3</v>
      </c>
      <c r="M110" s="161"/>
      <c r="N110" s="161"/>
    </row>
    <row r="111" spans="3:14">
      <c r="C111" s="18">
        <f t="shared" si="1"/>
        <v>22</v>
      </c>
      <c r="D111" s="18" t="s">
        <v>71</v>
      </c>
      <c r="E111" s="164">
        <v>63</v>
      </c>
      <c r="F111" s="164" t="s">
        <v>505</v>
      </c>
      <c r="G111" s="164" t="s">
        <v>202</v>
      </c>
      <c r="H111" s="55">
        <v>61.5</v>
      </c>
      <c r="I111" s="164" t="s">
        <v>106</v>
      </c>
      <c r="J111" s="18">
        <v>1.2</v>
      </c>
      <c r="K111" s="30">
        <v>3.1</v>
      </c>
      <c r="L111" s="18">
        <v>4.3</v>
      </c>
      <c r="M111" s="161"/>
      <c r="N111" s="161"/>
    </row>
    <row r="112" spans="3:14">
      <c r="C112" s="18">
        <f t="shared" si="1"/>
        <v>23</v>
      </c>
      <c r="D112" s="18" t="s">
        <v>71</v>
      </c>
      <c r="E112" s="164">
        <v>63</v>
      </c>
      <c r="F112" s="164" t="s">
        <v>386</v>
      </c>
      <c r="G112" s="164" t="s">
        <v>505</v>
      </c>
      <c r="H112" s="55">
        <v>141.9</v>
      </c>
      <c r="I112" s="164" t="s">
        <v>106</v>
      </c>
      <c r="J112" s="18">
        <v>1.2</v>
      </c>
      <c r="K112" s="30">
        <v>3.1</v>
      </c>
      <c r="L112" s="18">
        <v>4.3</v>
      </c>
      <c r="M112" s="161"/>
      <c r="N112" s="161"/>
    </row>
    <row r="113" spans="3:14">
      <c r="C113" s="18">
        <f t="shared" si="1"/>
        <v>24</v>
      </c>
      <c r="D113" s="18" t="s">
        <v>71</v>
      </c>
      <c r="E113" s="164">
        <v>63</v>
      </c>
      <c r="F113" s="164" t="s">
        <v>699</v>
      </c>
      <c r="G113" s="164" t="s">
        <v>148</v>
      </c>
      <c r="H113" s="55">
        <v>17.7</v>
      </c>
      <c r="I113" s="164" t="s">
        <v>106</v>
      </c>
      <c r="J113" s="18">
        <v>1.2</v>
      </c>
      <c r="K113" s="30">
        <v>3.1</v>
      </c>
      <c r="L113" s="18">
        <v>4.3</v>
      </c>
      <c r="M113" s="161"/>
      <c r="N113" s="161"/>
    </row>
    <row r="114" spans="3:14">
      <c r="C114" s="18">
        <f t="shared" si="1"/>
        <v>25</v>
      </c>
      <c r="D114" s="18" t="s">
        <v>71</v>
      </c>
      <c r="E114" s="164">
        <v>63</v>
      </c>
      <c r="F114" s="164" t="s">
        <v>148</v>
      </c>
      <c r="G114" s="164" t="s">
        <v>142</v>
      </c>
      <c r="H114" s="55">
        <v>79.7</v>
      </c>
      <c r="I114" s="164" t="s">
        <v>106</v>
      </c>
      <c r="J114" s="18">
        <v>1.2</v>
      </c>
      <c r="K114" s="30">
        <v>3.1</v>
      </c>
      <c r="L114" s="18">
        <v>4.3</v>
      </c>
      <c r="M114" s="161"/>
      <c r="N114" s="161"/>
    </row>
    <row r="115" spans="3:14">
      <c r="C115" s="18">
        <f t="shared" si="1"/>
        <v>26</v>
      </c>
      <c r="D115" s="18" t="s">
        <v>71</v>
      </c>
      <c r="E115" s="164">
        <v>63</v>
      </c>
      <c r="F115" s="164" t="s">
        <v>142</v>
      </c>
      <c r="G115" s="164" t="s">
        <v>319</v>
      </c>
      <c r="H115" s="55">
        <v>59.6</v>
      </c>
      <c r="I115" s="164" t="s">
        <v>106</v>
      </c>
      <c r="J115" s="18">
        <v>1.2</v>
      </c>
      <c r="K115" s="30">
        <v>3.1</v>
      </c>
      <c r="L115" s="18">
        <v>4.3</v>
      </c>
      <c r="M115" s="161"/>
      <c r="N115" s="161"/>
    </row>
    <row r="116" spans="3:14">
      <c r="C116" s="18">
        <f t="shared" si="1"/>
        <v>27</v>
      </c>
      <c r="D116" s="18" t="s">
        <v>71</v>
      </c>
      <c r="E116" s="164">
        <v>63</v>
      </c>
      <c r="F116" s="164" t="s">
        <v>142</v>
      </c>
      <c r="G116" s="164" t="s">
        <v>135</v>
      </c>
      <c r="H116" s="55">
        <v>34.9</v>
      </c>
      <c r="I116" s="164" t="s">
        <v>106</v>
      </c>
      <c r="J116" s="18">
        <v>1.2</v>
      </c>
      <c r="K116" s="30">
        <v>3.1</v>
      </c>
      <c r="L116" s="18">
        <v>4.3</v>
      </c>
      <c r="M116" s="161"/>
      <c r="N116" s="161"/>
    </row>
    <row r="117" spans="3:14">
      <c r="C117" s="18">
        <f t="shared" si="1"/>
        <v>28</v>
      </c>
      <c r="D117" s="18" t="s">
        <v>71</v>
      </c>
      <c r="E117" s="164">
        <v>63</v>
      </c>
      <c r="F117" s="164" t="s">
        <v>135</v>
      </c>
      <c r="G117" s="164" t="s">
        <v>231</v>
      </c>
      <c r="H117" s="55">
        <v>57.7</v>
      </c>
      <c r="I117" s="164" t="s">
        <v>106</v>
      </c>
      <c r="J117" s="18">
        <v>1.2</v>
      </c>
      <c r="K117" s="30">
        <v>3.1</v>
      </c>
      <c r="L117" s="18">
        <v>4.3</v>
      </c>
      <c r="M117" s="161"/>
      <c r="N117" s="161"/>
    </row>
    <row r="118" spans="3:14">
      <c r="C118" s="18">
        <f t="shared" si="1"/>
        <v>29</v>
      </c>
      <c r="D118" s="18" t="s">
        <v>71</v>
      </c>
      <c r="E118" s="164">
        <v>63</v>
      </c>
      <c r="F118" s="164" t="s">
        <v>135</v>
      </c>
      <c r="G118" s="164" t="s">
        <v>1235</v>
      </c>
      <c r="H118" s="55">
        <v>17.5</v>
      </c>
      <c r="I118" s="164" t="s">
        <v>106</v>
      </c>
      <c r="J118" s="18">
        <v>1.2</v>
      </c>
      <c r="K118" s="30">
        <v>3.1</v>
      </c>
      <c r="L118" s="18">
        <v>4.3</v>
      </c>
      <c r="M118" s="161"/>
      <c r="N118" s="161"/>
    </row>
    <row r="119" spans="3:14">
      <c r="C119" s="18">
        <f t="shared" si="1"/>
        <v>30</v>
      </c>
      <c r="D119" s="18" t="s">
        <v>71</v>
      </c>
      <c r="E119" s="164">
        <v>63</v>
      </c>
      <c r="F119" s="164" t="s">
        <v>785</v>
      </c>
      <c r="G119" s="164" t="s">
        <v>141</v>
      </c>
      <c r="H119" s="55">
        <f>143.6+3</f>
        <v>146.6</v>
      </c>
      <c r="I119" s="164" t="s">
        <v>106</v>
      </c>
      <c r="J119" s="18">
        <v>1.2</v>
      </c>
      <c r="K119" s="30">
        <v>3.1</v>
      </c>
      <c r="L119" s="18">
        <v>4.3</v>
      </c>
      <c r="M119" s="161"/>
      <c r="N119" s="161"/>
    </row>
    <row r="120" spans="3:14">
      <c r="C120" s="18">
        <f t="shared" si="1"/>
        <v>31</v>
      </c>
      <c r="D120" s="18" t="s">
        <v>71</v>
      </c>
      <c r="E120" s="164">
        <v>63</v>
      </c>
      <c r="F120" s="164" t="s">
        <v>247</v>
      </c>
      <c r="G120" s="164" t="s">
        <v>533</v>
      </c>
      <c r="H120" s="55">
        <v>94.4</v>
      </c>
      <c r="I120" s="164" t="s">
        <v>106</v>
      </c>
      <c r="J120" s="18">
        <v>1.2</v>
      </c>
      <c r="K120" s="30">
        <v>3.1</v>
      </c>
      <c r="L120" s="18">
        <v>4.3</v>
      </c>
      <c r="M120" s="161"/>
      <c r="N120" s="161"/>
    </row>
    <row r="121" spans="3:14">
      <c r="C121" s="18">
        <f t="shared" si="1"/>
        <v>32</v>
      </c>
      <c r="D121" s="18" t="s">
        <v>71</v>
      </c>
      <c r="E121" s="164">
        <v>63</v>
      </c>
      <c r="F121" s="164" t="s">
        <v>520</v>
      </c>
      <c r="G121" s="164" t="s">
        <v>338</v>
      </c>
      <c r="H121" s="55">
        <v>57.5</v>
      </c>
      <c r="I121" s="164" t="s">
        <v>106</v>
      </c>
      <c r="J121" s="18">
        <v>1.2</v>
      </c>
      <c r="K121" s="30">
        <v>3.1</v>
      </c>
      <c r="L121" s="18">
        <v>4.3</v>
      </c>
      <c r="M121" s="161"/>
      <c r="N121" s="161"/>
    </row>
    <row r="122" spans="3:14">
      <c r="C122" s="18">
        <f t="shared" si="1"/>
        <v>33</v>
      </c>
      <c r="D122" s="18" t="s">
        <v>71</v>
      </c>
      <c r="E122" s="164">
        <v>63</v>
      </c>
      <c r="F122" s="164" t="s">
        <v>148</v>
      </c>
      <c r="G122" s="164" t="s">
        <v>190</v>
      </c>
      <c r="H122" s="55">
        <v>51.4</v>
      </c>
      <c r="I122" s="164" t="s">
        <v>106</v>
      </c>
      <c r="J122" s="18">
        <v>1.2</v>
      </c>
      <c r="K122" s="30">
        <v>3.1</v>
      </c>
      <c r="L122" s="18">
        <v>4.3</v>
      </c>
      <c r="M122" s="161"/>
      <c r="N122" s="161"/>
    </row>
    <row r="123" spans="3:14">
      <c r="C123" s="18">
        <f t="shared" si="1"/>
        <v>34</v>
      </c>
      <c r="D123" s="18" t="s">
        <v>71</v>
      </c>
      <c r="E123" s="164">
        <v>63</v>
      </c>
      <c r="F123" s="164" t="s">
        <v>148</v>
      </c>
      <c r="G123" s="164" t="s">
        <v>190</v>
      </c>
      <c r="H123" s="55">
        <v>23.9</v>
      </c>
      <c r="I123" s="164" t="s">
        <v>106</v>
      </c>
      <c r="J123" s="18">
        <v>1.2</v>
      </c>
      <c r="K123" s="30">
        <v>3.1</v>
      </c>
      <c r="L123" s="18">
        <v>4.3</v>
      </c>
      <c r="M123" s="161"/>
      <c r="N123" s="161"/>
    </row>
    <row r="124" spans="3:14">
      <c r="C124" s="18">
        <f t="shared" si="1"/>
        <v>35</v>
      </c>
      <c r="D124" s="18" t="s">
        <v>71</v>
      </c>
      <c r="E124" s="164">
        <v>63</v>
      </c>
      <c r="F124" s="164" t="s">
        <v>190</v>
      </c>
      <c r="G124" s="164" t="s">
        <v>218</v>
      </c>
      <c r="H124" s="55">
        <v>38</v>
      </c>
      <c r="I124" s="164" t="s">
        <v>106</v>
      </c>
      <c r="J124" s="18">
        <v>1.2</v>
      </c>
      <c r="K124" s="30">
        <v>3.1</v>
      </c>
      <c r="L124" s="18">
        <v>4.3</v>
      </c>
      <c r="M124" s="161"/>
      <c r="N124" s="161"/>
    </row>
    <row r="125" spans="3:14">
      <c r="C125" s="18">
        <f t="shared" si="1"/>
        <v>36</v>
      </c>
      <c r="D125" s="18" t="s">
        <v>71</v>
      </c>
      <c r="E125" s="164">
        <v>63</v>
      </c>
      <c r="F125" s="164" t="s">
        <v>190</v>
      </c>
      <c r="G125" s="164" t="s">
        <v>210</v>
      </c>
      <c r="H125" s="55">
        <v>96.6</v>
      </c>
      <c r="I125" s="164" t="s">
        <v>106</v>
      </c>
      <c r="J125" s="18">
        <v>1.2</v>
      </c>
      <c r="K125" s="30">
        <v>3.1</v>
      </c>
      <c r="L125" s="18">
        <v>4.3</v>
      </c>
      <c r="M125" s="161"/>
      <c r="N125" s="161"/>
    </row>
    <row r="126" spans="3:14">
      <c r="C126" s="18">
        <f t="shared" si="1"/>
        <v>37</v>
      </c>
      <c r="D126" s="18" t="s">
        <v>71</v>
      </c>
      <c r="E126" s="164">
        <v>63</v>
      </c>
      <c r="F126" s="164" t="s">
        <v>190</v>
      </c>
      <c r="G126" s="164" t="s">
        <v>779</v>
      </c>
      <c r="H126" s="55">
        <v>4.3</v>
      </c>
      <c r="I126" s="164" t="s">
        <v>106</v>
      </c>
      <c r="J126" s="18">
        <v>1.2</v>
      </c>
      <c r="K126" s="30">
        <v>3.1</v>
      </c>
      <c r="L126" s="18">
        <v>4.3</v>
      </c>
      <c r="M126" s="161"/>
      <c r="N126" s="161"/>
    </row>
    <row r="127" spans="3:14">
      <c r="C127" s="18">
        <f t="shared" si="1"/>
        <v>38</v>
      </c>
      <c r="D127" s="18" t="s">
        <v>71</v>
      </c>
      <c r="E127" s="164">
        <v>63</v>
      </c>
      <c r="F127" s="164" t="s">
        <v>210</v>
      </c>
      <c r="G127" s="164" t="s">
        <v>187</v>
      </c>
      <c r="H127" s="55">
        <v>3.8</v>
      </c>
      <c r="I127" s="164" t="s">
        <v>106</v>
      </c>
      <c r="J127" s="18">
        <v>1.2</v>
      </c>
      <c r="K127" s="30">
        <v>3.1</v>
      </c>
      <c r="L127" s="18">
        <v>4.3</v>
      </c>
      <c r="M127" s="161"/>
      <c r="N127" s="161"/>
    </row>
    <row r="128" spans="3:14">
      <c r="C128" s="18">
        <f t="shared" si="1"/>
        <v>39</v>
      </c>
      <c r="D128" s="18" t="s">
        <v>71</v>
      </c>
      <c r="E128" s="164">
        <v>63</v>
      </c>
      <c r="F128" s="164" t="s">
        <v>779</v>
      </c>
      <c r="G128" s="164" t="s">
        <v>187</v>
      </c>
      <c r="H128" s="55">
        <v>20.7</v>
      </c>
      <c r="I128" s="164" t="s">
        <v>106</v>
      </c>
      <c r="J128" s="18">
        <v>1.2</v>
      </c>
      <c r="K128" s="30">
        <v>3.1</v>
      </c>
      <c r="L128" s="18">
        <v>4.3</v>
      </c>
      <c r="M128" s="161"/>
      <c r="N128" s="161"/>
    </row>
    <row r="129" spans="3:14">
      <c r="C129" s="18">
        <f t="shared" si="1"/>
        <v>40</v>
      </c>
      <c r="D129" s="18" t="s">
        <v>71</v>
      </c>
      <c r="E129" s="164">
        <v>63</v>
      </c>
      <c r="F129" s="164" t="s">
        <v>779</v>
      </c>
      <c r="G129" s="164" t="s">
        <v>772</v>
      </c>
      <c r="H129" s="55">
        <v>225.2</v>
      </c>
      <c r="I129" s="164" t="s">
        <v>106</v>
      </c>
      <c r="J129" s="18">
        <v>1.2</v>
      </c>
      <c r="K129" s="30">
        <v>3.1</v>
      </c>
      <c r="L129" s="18">
        <v>4.3</v>
      </c>
      <c r="M129" s="161"/>
      <c r="N129" s="161"/>
    </row>
    <row r="130" spans="3:14">
      <c r="C130" s="18">
        <f t="shared" si="1"/>
        <v>41</v>
      </c>
      <c r="D130" s="18" t="s">
        <v>71</v>
      </c>
      <c r="E130" s="164">
        <v>63</v>
      </c>
      <c r="F130" s="164" t="s">
        <v>210</v>
      </c>
      <c r="G130" s="164" t="s">
        <v>779</v>
      </c>
      <c r="H130" s="55">
        <v>186.9</v>
      </c>
      <c r="I130" s="164" t="s">
        <v>106</v>
      </c>
      <c r="J130" s="18">
        <v>1.2</v>
      </c>
      <c r="K130" s="30">
        <v>3.1</v>
      </c>
      <c r="L130" s="18">
        <v>4.3</v>
      </c>
      <c r="M130" s="161"/>
      <c r="N130" s="161"/>
    </row>
    <row r="131" spans="3:14">
      <c r="C131" s="18">
        <f t="shared" si="1"/>
        <v>42</v>
      </c>
      <c r="D131" s="18" t="s">
        <v>71</v>
      </c>
      <c r="E131" s="164">
        <v>63</v>
      </c>
      <c r="F131" s="164" t="s">
        <v>779</v>
      </c>
      <c r="G131" s="164" t="s">
        <v>318</v>
      </c>
      <c r="H131" s="55">
        <v>71.400000000000006</v>
      </c>
      <c r="I131" s="164" t="s">
        <v>106</v>
      </c>
      <c r="J131" s="18">
        <v>1.2</v>
      </c>
      <c r="K131" s="30">
        <v>3.1</v>
      </c>
      <c r="L131" s="18">
        <v>4.3</v>
      </c>
      <c r="M131" s="161"/>
      <c r="N131" s="161"/>
    </row>
    <row r="132" spans="3:14">
      <c r="C132" s="18">
        <f t="shared" si="1"/>
        <v>43</v>
      </c>
      <c r="D132" s="18" t="s">
        <v>71</v>
      </c>
      <c r="E132" s="164">
        <v>63</v>
      </c>
      <c r="F132" s="164" t="s">
        <v>195</v>
      </c>
      <c r="G132" s="164" t="s">
        <v>203</v>
      </c>
      <c r="H132" s="55">
        <v>205.2</v>
      </c>
      <c r="I132" s="164" t="s">
        <v>106</v>
      </c>
      <c r="J132" s="18">
        <v>1.2</v>
      </c>
      <c r="K132" s="30">
        <v>3.1</v>
      </c>
      <c r="L132" s="18">
        <v>4.3</v>
      </c>
      <c r="M132" s="161"/>
      <c r="N132" s="161"/>
    </row>
    <row r="133" spans="3:14">
      <c r="C133" s="18">
        <f t="shared" si="1"/>
        <v>44</v>
      </c>
      <c r="D133" s="18" t="s">
        <v>71</v>
      </c>
      <c r="E133" s="164">
        <v>63</v>
      </c>
      <c r="F133" s="164" t="s">
        <v>134</v>
      </c>
      <c r="G133" s="164" t="s">
        <v>248</v>
      </c>
      <c r="H133" s="55">
        <v>17.8</v>
      </c>
      <c r="I133" s="164" t="s">
        <v>106</v>
      </c>
      <c r="J133" s="18">
        <v>1.2</v>
      </c>
      <c r="K133" s="30">
        <v>3.1</v>
      </c>
      <c r="L133" s="18">
        <v>4.3</v>
      </c>
      <c r="M133" s="161"/>
      <c r="N133" s="161"/>
    </row>
    <row r="134" spans="3:14">
      <c r="C134" s="18">
        <f t="shared" si="1"/>
        <v>45</v>
      </c>
      <c r="D134" s="18" t="s">
        <v>71</v>
      </c>
      <c r="E134" s="164">
        <v>63</v>
      </c>
      <c r="F134" s="164" t="s">
        <v>1236</v>
      </c>
      <c r="G134" s="164" t="s">
        <v>243</v>
      </c>
      <c r="H134" s="55">
        <v>40.299999999999997</v>
      </c>
      <c r="I134" s="164" t="s">
        <v>106</v>
      </c>
      <c r="J134" s="18">
        <v>1.2</v>
      </c>
      <c r="K134" s="30">
        <v>3.1</v>
      </c>
      <c r="L134" s="18">
        <v>4.3</v>
      </c>
      <c r="M134" s="161"/>
      <c r="N134" s="161"/>
    </row>
    <row r="135" spans="3:14">
      <c r="C135" s="18">
        <f t="shared" si="1"/>
        <v>46</v>
      </c>
      <c r="D135" s="18" t="s">
        <v>71</v>
      </c>
      <c r="E135" s="164">
        <v>63</v>
      </c>
      <c r="F135" s="164" t="s">
        <v>243</v>
      </c>
      <c r="G135" s="164" t="s">
        <v>128</v>
      </c>
      <c r="H135" s="55">
        <v>11.1</v>
      </c>
      <c r="I135" s="164" t="s">
        <v>106</v>
      </c>
      <c r="J135" s="18">
        <v>1.2</v>
      </c>
      <c r="K135" s="30">
        <v>3.1</v>
      </c>
      <c r="L135" s="18">
        <v>4.3</v>
      </c>
      <c r="M135" s="161"/>
      <c r="N135" s="161"/>
    </row>
    <row r="136" spans="3:14">
      <c r="C136" s="18">
        <f t="shared" si="1"/>
        <v>47</v>
      </c>
      <c r="D136" s="18" t="s">
        <v>71</v>
      </c>
      <c r="E136" s="164">
        <v>63</v>
      </c>
      <c r="F136" s="164" t="s">
        <v>128</v>
      </c>
      <c r="G136" s="164" t="s">
        <v>153</v>
      </c>
      <c r="H136" s="55">
        <v>29.3</v>
      </c>
      <c r="I136" s="164" t="s">
        <v>106</v>
      </c>
      <c r="J136" s="18">
        <v>1.2</v>
      </c>
      <c r="K136" s="30">
        <v>3.1</v>
      </c>
      <c r="L136" s="18">
        <v>4.3</v>
      </c>
      <c r="M136" s="161"/>
      <c r="N136" s="161"/>
    </row>
    <row r="137" spans="3:14">
      <c r="C137" s="18">
        <f t="shared" si="1"/>
        <v>48</v>
      </c>
      <c r="D137" s="18" t="s">
        <v>71</v>
      </c>
      <c r="E137" s="164">
        <v>63</v>
      </c>
      <c r="F137" s="164" t="s">
        <v>128</v>
      </c>
      <c r="G137" s="164" t="s">
        <v>1237</v>
      </c>
      <c r="H137" s="55">
        <v>14.5</v>
      </c>
      <c r="I137" s="164" t="s">
        <v>106</v>
      </c>
      <c r="J137" s="18">
        <v>1.2</v>
      </c>
      <c r="K137" s="30">
        <v>3.1</v>
      </c>
      <c r="L137" s="18">
        <v>4.3</v>
      </c>
      <c r="M137" s="161"/>
      <c r="N137" s="161"/>
    </row>
    <row r="138" spans="3:14">
      <c r="C138" s="18"/>
      <c r="D138" s="18"/>
      <c r="E138" s="19"/>
      <c r="F138" s="19"/>
      <c r="G138" s="19"/>
      <c r="H138" s="164"/>
      <c r="I138" s="164"/>
      <c r="J138" s="18"/>
      <c r="K138" s="30"/>
      <c r="L138" s="18"/>
      <c r="M138" s="161"/>
      <c r="N138" s="161"/>
    </row>
    <row r="139" spans="3:14">
      <c r="C139" s="374"/>
      <c r="D139" s="374"/>
      <c r="E139" s="374"/>
      <c r="F139" s="374"/>
      <c r="G139" s="374"/>
      <c r="H139" s="374"/>
      <c r="I139" s="374"/>
      <c r="J139" s="374"/>
      <c r="K139" s="374"/>
      <c r="L139" s="374"/>
      <c r="M139" s="374"/>
      <c r="N139" s="374"/>
    </row>
    <row r="140" spans="3:14">
      <c r="C140" s="324"/>
      <c r="D140" s="324"/>
      <c r="E140" s="325" t="s">
        <v>86</v>
      </c>
      <c r="F140" s="325"/>
      <c r="G140" s="325"/>
      <c r="H140" s="325"/>
      <c r="I140" s="325" t="s">
        <v>87</v>
      </c>
      <c r="J140" s="325"/>
      <c r="K140" s="325"/>
      <c r="L140" s="325" t="s">
        <v>39</v>
      </c>
      <c r="M140" s="325"/>
      <c r="N140" s="325"/>
    </row>
    <row r="141" spans="3:14">
      <c r="C141" s="295" t="s">
        <v>40</v>
      </c>
      <c r="D141" s="295"/>
      <c r="E141" s="317"/>
      <c r="F141" s="317"/>
      <c r="G141" s="317"/>
      <c r="H141" s="317"/>
      <c r="I141" s="317"/>
      <c r="J141" s="317"/>
      <c r="K141" s="317"/>
      <c r="L141" s="317"/>
      <c r="M141" s="317"/>
      <c r="N141" s="317"/>
    </row>
    <row r="142" spans="3:14">
      <c r="C142" s="295" t="s">
        <v>41</v>
      </c>
      <c r="D142" s="295"/>
      <c r="E142" s="317"/>
      <c r="F142" s="317"/>
      <c r="G142" s="317"/>
      <c r="H142" s="317"/>
      <c r="I142" s="317"/>
      <c r="J142" s="317"/>
      <c r="K142" s="317"/>
      <c r="L142" s="317"/>
      <c r="M142" s="317"/>
      <c r="N142" s="317"/>
    </row>
    <row r="143" spans="3:14">
      <c r="C143" s="295" t="s">
        <v>42</v>
      </c>
      <c r="D143" s="295"/>
      <c r="E143" s="317"/>
      <c r="F143" s="317"/>
      <c r="G143" s="317"/>
      <c r="H143" s="317"/>
      <c r="I143" s="317"/>
      <c r="J143" s="317"/>
      <c r="K143" s="317"/>
      <c r="L143" s="317"/>
      <c r="M143" s="317"/>
      <c r="N143" s="317"/>
    </row>
    <row r="144" spans="3:14">
      <c r="C144" s="295" t="s">
        <v>43</v>
      </c>
      <c r="D144" s="295"/>
      <c r="E144" s="315"/>
      <c r="F144" s="316"/>
      <c r="G144" s="316"/>
      <c r="H144" s="316"/>
      <c r="I144" s="317"/>
      <c r="J144" s="317"/>
      <c r="K144" s="317"/>
      <c r="L144" s="317"/>
      <c r="M144" s="317"/>
      <c r="N144" s="317"/>
    </row>
    <row r="145" spans="3:14" ht="15.75" thickBot="1"/>
    <row r="146" spans="3:14">
      <c r="C146" s="206"/>
      <c r="D146" s="211" t="s">
        <v>44</v>
      </c>
      <c r="E146" s="212"/>
      <c r="F146" s="212"/>
      <c r="G146" s="212"/>
      <c r="H146" s="212"/>
      <c r="I146" s="212"/>
      <c r="J146" s="212"/>
      <c r="K146" s="212"/>
      <c r="L146" s="20"/>
      <c r="M146" s="20"/>
      <c r="N146" s="21"/>
    </row>
    <row r="147" spans="3:14">
      <c r="C147" s="207"/>
      <c r="D147" s="214"/>
      <c r="E147" s="215"/>
      <c r="F147" s="215"/>
      <c r="G147" s="215"/>
      <c r="H147" s="215"/>
      <c r="I147" s="215"/>
      <c r="J147" s="215"/>
      <c r="K147" s="215"/>
      <c r="N147" s="22"/>
    </row>
    <row r="148" spans="3:14">
      <c r="C148" s="207"/>
      <c r="D148" s="214"/>
      <c r="E148" s="215"/>
      <c r="F148" s="215"/>
      <c r="G148" s="215"/>
      <c r="H148" s="215"/>
      <c r="I148" s="215"/>
      <c r="J148" s="215"/>
      <c r="K148" s="215"/>
      <c r="N148" s="22"/>
    </row>
    <row r="149" spans="3:14">
      <c r="C149" s="207"/>
      <c r="D149" s="289"/>
      <c r="E149" s="290"/>
      <c r="F149" s="290"/>
      <c r="G149" s="290"/>
      <c r="H149" s="290"/>
      <c r="I149" s="290"/>
      <c r="J149" s="290"/>
      <c r="K149" s="290"/>
      <c r="N149" s="22"/>
    </row>
    <row r="150" spans="3:14" ht="16.5">
      <c r="C150" s="223" t="s">
        <v>45</v>
      </c>
      <c r="D150" s="224"/>
      <c r="E150" s="159" t="s">
        <v>46</v>
      </c>
      <c r="F150" s="160"/>
      <c r="G150" s="160"/>
      <c r="H150" s="160"/>
      <c r="I150" s="160"/>
      <c r="J150" s="160"/>
      <c r="K150" s="160"/>
      <c r="L150" s="160"/>
      <c r="M150" s="160"/>
      <c r="N150" s="23"/>
    </row>
    <row r="151" spans="3:14" ht="16.5">
      <c r="C151" s="223" t="s">
        <v>48</v>
      </c>
      <c r="D151" s="224"/>
      <c r="E151" s="159" t="s">
        <v>49</v>
      </c>
      <c r="F151" s="160"/>
      <c r="G151" s="160"/>
      <c r="H151" s="160"/>
      <c r="I151" s="160"/>
      <c r="J151" s="160"/>
      <c r="K151" s="160"/>
      <c r="L151" s="160"/>
      <c r="M151" s="160"/>
      <c r="N151" s="23"/>
    </row>
    <row r="152" spans="3:14" ht="16.5">
      <c r="C152" s="225" t="s">
        <v>50</v>
      </c>
      <c r="D152" s="226"/>
      <c r="E152" s="159" t="s">
        <v>51</v>
      </c>
      <c r="F152" s="160"/>
      <c r="G152" s="160"/>
      <c r="H152" s="160"/>
      <c r="I152" s="160"/>
      <c r="J152" s="160"/>
      <c r="K152" s="160"/>
      <c r="L152" s="160"/>
      <c r="M152" s="160"/>
      <c r="N152" s="23"/>
    </row>
    <row r="153" spans="3:14" ht="16.5">
      <c r="C153" s="223" t="s">
        <v>52</v>
      </c>
      <c r="D153" s="224"/>
      <c r="E153" s="159" t="s">
        <v>53</v>
      </c>
      <c r="F153" s="160"/>
      <c r="G153" s="160"/>
      <c r="H153" s="160"/>
      <c r="I153" s="160"/>
      <c r="J153" s="160"/>
      <c r="K153" s="160"/>
      <c r="L153" s="160"/>
      <c r="M153" s="160"/>
      <c r="N153" s="23"/>
    </row>
    <row r="154" spans="3:14" ht="15.75">
      <c r="C154" s="227" t="s">
        <v>1214</v>
      </c>
      <c r="D154" s="228"/>
      <c r="E154" s="228"/>
      <c r="F154" s="228"/>
      <c r="G154" s="228"/>
      <c r="H154" s="228"/>
      <c r="I154" s="228"/>
      <c r="J154" s="228"/>
      <c r="K154" s="228"/>
      <c r="L154" s="228"/>
      <c r="M154" s="228"/>
      <c r="N154" s="229"/>
    </row>
    <row r="155" spans="3:14" ht="15.75">
      <c r="C155" s="11" t="s">
        <v>55</v>
      </c>
      <c r="E155" s="12"/>
      <c r="F155" s="12"/>
      <c r="G155" s="12"/>
      <c r="H155" s="12"/>
      <c r="I155" s="24" t="s">
        <v>56</v>
      </c>
      <c r="J155" s="25"/>
      <c r="K155" s="12"/>
      <c r="L155" s="12"/>
      <c r="M155" s="12"/>
      <c r="N155" s="26"/>
    </row>
    <row r="156" spans="3:14">
      <c r="C156" s="217"/>
      <c r="D156" s="218"/>
      <c r="E156" s="218"/>
      <c r="F156" s="218"/>
      <c r="G156" s="218"/>
      <c r="H156" s="218"/>
      <c r="I156" s="218"/>
      <c r="J156" s="218"/>
      <c r="K156" s="218"/>
      <c r="L156" s="218"/>
      <c r="M156" s="218"/>
      <c r="N156" s="219"/>
    </row>
    <row r="157" spans="3:14" ht="15.75">
      <c r="C157" s="162" t="s">
        <v>103</v>
      </c>
      <c r="D157" s="355"/>
      <c r="E157" s="356"/>
      <c r="F157" s="356"/>
      <c r="G157" s="356"/>
      <c r="H157" s="357"/>
      <c r="I157" s="368" t="s">
        <v>542</v>
      </c>
      <c r="J157" s="369"/>
      <c r="K157" s="369"/>
      <c r="L157" s="369"/>
      <c r="M157" s="369"/>
      <c r="N157" s="370"/>
    </row>
    <row r="158" spans="3:14">
      <c r="C158" s="329" t="s">
        <v>59</v>
      </c>
      <c r="D158" s="209" t="s">
        <v>60</v>
      </c>
      <c r="E158" s="209" t="s">
        <v>659</v>
      </c>
      <c r="F158" s="209" t="s">
        <v>62</v>
      </c>
      <c r="G158" s="209" t="s">
        <v>63</v>
      </c>
      <c r="H158" s="209" t="s">
        <v>64</v>
      </c>
      <c r="I158" s="209" t="s">
        <v>65</v>
      </c>
      <c r="J158" s="342" t="s">
        <v>66</v>
      </c>
      <c r="K158" s="343"/>
      <c r="L158" s="344"/>
      <c r="M158" s="209" t="s">
        <v>30</v>
      </c>
      <c r="N158" s="328" t="s">
        <v>67</v>
      </c>
    </row>
    <row r="159" spans="3:14" ht="60">
      <c r="C159" s="359"/>
      <c r="D159" s="292"/>
      <c r="E159" s="292"/>
      <c r="F159" s="292"/>
      <c r="G159" s="292"/>
      <c r="H159" s="292"/>
      <c r="I159" s="292"/>
      <c r="J159" s="163" t="s">
        <v>68</v>
      </c>
      <c r="K159" s="28" t="s">
        <v>999</v>
      </c>
      <c r="L159" s="163" t="s">
        <v>70</v>
      </c>
      <c r="M159" s="292"/>
      <c r="N159" s="360"/>
    </row>
    <row r="160" spans="3:14">
      <c r="C160" s="18">
        <v>1</v>
      </c>
      <c r="D160" s="18" t="s">
        <v>71</v>
      </c>
      <c r="E160" s="164">
        <v>63</v>
      </c>
      <c r="F160" s="164" t="s">
        <v>128</v>
      </c>
      <c r="G160" s="164" t="s">
        <v>248</v>
      </c>
      <c r="H160" s="55">
        <v>34.299999999999997</v>
      </c>
      <c r="I160" s="164" t="s">
        <v>1198</v>
      </c>
      <c r="J160" s="18">
        <v>1</v>
      </c>
      <c r="K160" s="30">
        <v>2.8</v>
      </c>
      <c r="L160" s="18">
        <v>3.8</v>
      </c>
      <c r="M160" s="161"/>
      <c r="N160" s="161"/>
    </row>
    <row r="161" spans="3:14">
      <c r="C161" s="18">
        <f t="shared" ref="C161:C201" si="2">1+C160</f>
        <v>2</v>
      </c>
      <c r="D161" s="18" t="s">
        <v>71</v>
      </c>
      <c r="E161" s="164">
        <v>63</v>
      </c>
      <c r="F161" s="164" t="s">
        <v>243</v>
      </c>
      <c r="G161" s="164" t="s">
        <v>213</v>
      </c>
      <c r="H161" s="55">
        <v>21.8</v>
      </c>
      <c r="I161" s="164" t="s">
        <v>1198</v>
      </c>
      <c r="J161" s="18">
        <v>1</v>
      </c>
      <c r="K161" s="30">
        <v>2.8</v>
      </c>
      <c r="L161" s="18">
        <v>3.8</v>
      </c>
      <c r="M161" s="161"/>
      <c r="N161" s="161"/>
    </row>
    <row r="162" spans="3:14">
      <c r="C162" s="18">
        <f t="shared" si="2"/>
        <v>3</v>
      </c>
      <c r="D162" s="18" t="s">
        <v>71</v>
      </c>
      <c r="E162" s="164">
        <v>63</v>
      </c>
      <c r="F162" s="164" t="s">
        <v>213</v>
      </c>
      <c r="G162" s="164" t="s">
        <v>1220</v>
      </c>
      <c r="H162" s="55">
        <v>21.3</v>
      </c>
      <c r="I162" s="164" t="s">
        <v>1198</v>
      </c>
      <c r="J162" s="18">
        <v>1</v>
      </c>
      <c r="K162" s="30">
        <v>2.8</v>
      </c>
      <c r="L162" s="18">
        <v>3.8</v>
      </c>
      <c r="M162" s="161"/>
      <c r="N162" s="161"/>
    </row>
    <row r="163" spans="3:14">
      <c r="C163" s="18">
        <f t="shared" si="2"/>
        <v>4</v>
      </c>
      <c r="D163" s="18" t="s">
        <v>71</v>
      </c>
      <c r="E163" s="164">
        <v>63</v>
      </c>
      <c r="F163" s="164" t="s">
        <v>1167</v>
      </c>
      <c r="G163" s="164" t="s">
        <v>213</v>
      </c>
      <c r="H163" s="55">
        <v>29</v>
      </c>
      <c r="I163" s="164" t="s">
        <v>1198</v>
      </c>
      <c r="J163" s="18">
        <v>1</v>
      </c>
      <c r="K163" s="30">
        <v>2.8</v>
      </c>
      <c r="L163" s="18">
        <v>3.8</v>
      </c>
      <c r="M163" s="161"/>
      <c r="N163" s="161"/>
    </row>
    <row r="164" spans="3:14">
      <c r="C164" s="18">
        <f t="shared" si="2"/>
        <v>5</v>
      </c>
      <c r="D164" s="18" t="s">
        <v>71</v>
      </c>
      <c r="E164" s="164">
        <v>63</v>
      </c>
      <c r="F164" s="164" t="s">
        <v>1167</v>
      </c>
      <c r="G164" s="164" t="s">
        <v>213</v>
      </c>
      <c r="H164" s="55">
        <v>51.1</v>
      </c>
      <c r="I164" s="164" t="s">
        <v>1198</v>
      </c>
      <c r="J164" s="18">
        <v>1</v>
      </c>
      <c r="K164" s="30">
        <v>2.8</v>
      </c>
      <c r="L164" s="18">
        <v>3.8</v>
      </c>
      <c r="M164" s="161"/>
      <c r="N164" s="161"/>
    </row>
    <row r="165" spans="3:14">
      <c r="C165" s="18">
        <f t="shared" si="2"/>
        <v>6</v>
      </c>
      <c r="D165" s="18" t="s">
        <v>71</v>
      </c>
      <c r="E165" s="164">
        <v>63</v>
      </c>
      <c r="F165" s="164" t="s">
        <v>644</v>
      </c>
      <c r="G165" s="164" t="s">
        <v>1175</v>
      </c>
      <c r="H165" s="55">
        <v>264.89999999999998</v>
      </c>
      <c r="I165" s="164" t="s">
        <v>1198</v>
      </c>
      <c r="J165" s="18">
        <v>1</v>
      </c>
      <c r="K165" s="30">
        <v>2.8</v>
      </c>
      <c r="L165" s="18">
        <v>3.8</v>
      </c>
      <c r="M165" s="161"/>
      <c r="N165" s="161"/>
    </row>
    <row r="166" spans="3:14">
      <c r="C166" s="18">
        <f t="shared" si="2"/>
        <v>7</v>
      </c>
      <c r="D166" s="18" t="s">
        <v>71</v>
      </c>
      <c r="E166" s="164">
        <v>63</v>
      </c>
      <c r="F166" s="164" t="s">
        <v>1175</v>
      </c>
      <c r="G166" s="164" t="s">
        <v>777</v>
      </c>
      <c r="H166" s="55">
        <v>91.4</v>
      </c>
      <c r="I166" s="164" t="s">
        <v>1198</v>
      </c>
      <c r="J166" s="18">
        <v>1</v>
      </c>
      <c r="K166" s="30">
        <v>2.8</v>
      </c>
      <c r="L166" s="18">
        <v>3.8</v>
      </c>
      <c r="M166" s="161"/>
      <c r="N166" s="161"/>
    </row>
    <row r="167" spans="3:14">
      <c r="C167" s="18">
        <f t="shared" si="2"/>
        <v>8</v>
      </c>
      <c r="D167" s="18" t="s">
        <v>71</v>
      </c>
      <c r="E167" s="164">
        <v>63</v>
      </c>
      <c r="F167" s="164" t="s">
        <v>1175</v>
      </c>
      <c r="G167" s="164" t="s">
        <v>222</v>
      </c>
      <c r="H167" s="55">
        <v>3</v>
      </c>
      <c r="I167" s="164" t="s">
        <v>1198</v>
      </c>
      <c r="J167" s="18">
        <v>1</v>
      </c>
      <c r="K167" s="30">
        <v>2.8</v>
      </c>
      <c r="L167" s="18">
        <v>3.8</v>
      </c>
      <c r="M167" s="161"/>
      <c r="N167" s="161"/>
    </row>
    <row r="168" spans="3:14">
      <c r="C168" s="18">
        <f t="shared" si="2"/>
        <v>9</v>
      </c>
      <c r="D168" s="18" t="s">
        <v>71</v>
      </c>
      <c r="E168" s="164">
        <v>63</v>
      </c>
      <c r="F168" s="164" t="s">
        <v>1175</v>
      </c>
      <c r="G168" s="164" t="s">
        <v>222</v>
      </c>
      <c r="H168" s="55">
        <v>78.3</v>
      </c>
      <c r="I168" s="164" t="s">
        <v>1198</v>
      </c>
      <c r="J168" s="18">
        <v>1</v>
      </c>
      <c r="K168" s="30">
        <v>2.8</v>
      </c>
      <c r="L168" s="18">
        <v>3.8</v>
      </c>
      <c r="M168" s="161"/>
      <c r="N168" s="161"/>
    </row>
    <row r="169" spans="3:14">
      <c r="C169" s="18">
        <f t="shared" si="2"/>
        <v>10</v>
      </c>
      <c r="D169" s="18" t="s">
        <v>71</v>
      </c>
      <c r="E169" s="164">
        <v>63</v>
      </c>
      <c r="F169" s="164" t="s">
        <v>1175</v>
      </c>
      <c r="G169" s="164" t="s">
        <v>1059</v>
      </c>
      <c r="H169" s="55">
        <v>311.8</v>
      </c>
      <c r="I169" s="164" t="s">
        <v>1198</v>
      </c>
      <c r="J169" s="18">
        <v>1</v>
      </c>
      <c r="K169" s="30">
        <v>2.8</v>
      </c>
      <c r="L169" s="18">
        <v>3.8</v>
      </c>
      <c r="M169" s="161"/>
      <c r="N169" s="161"/>
    </row>
    <row r="170" spans="3:14">
      <c r="C170" s="18">
        <f t="shared" si="2"/>
        <v>11</v>
      </c>
      <c r="D170" s="18" t="s">
        <v>71</v>
      </c>
      <c r="E170" s="164">
        <v>63</v>
      </c>
      <c r="F170" s="164" t="s">
        <v>1059</v>
      </c>
      <c r="G170" s="164" t="s">
        <v>396</v>
      </c>
      <c r="H170" s="55">
        <v>3.4</v>
      </c>
      <c r="I170" s="164" t="s">
        <v>1198</v>
      </c>
      <c r="J170" s="18">
        <v>1</v>
      </c>
      <c r="K170" s="30">
        <v>2.8</v>
      </c>
      <c r="L170" s="18">
        <v>3.8</v>
      </c>
      <c r="M170" s="161"/>
      <c r="N170" s="161"/>
    </row>
    <row r="171" spans="3:14">
      <c r="C171" s="18">
        <f t="shared" si="2"/>
        <v>12</v>
      </c>
      <c r="D171" s="18" t="s">
        <v>71</v>
      </c>
      <c r="E171" s="164">
        <v>63</v>
      </c>
      <c r="F171" s="164" t="s">
        <v>1059</v>
      </c>
      <c r="G171" s="164" t="s">
        <v>396</v>
      </c>
      <c r="H171" s="55">
        <v>40.1</v>
      </c>
      <c r="I171" s="164" t="s">
        <v>1198</v>
      </c>
      <c r="J171" s="18">
        <v>1</v>
      </c>
      <c r="K171" s="30">
        <v>2.8</v>
      </c>
      <c r="L171" s="18">
        <v>3.8</v>
      </c>
      <c r="M171" s="161"/>
      <c r="N171" s="161"/>
    </row>
    <row r="172" spans="3:14">
      <c r="C172" s="18">
        <f t="shared" si="2"/>
        <v>13</v>
      </c>
      <c r="D172" s="18" t="s">
        <v>71</v>
      </c>
      <c r="E172" s="164">
        <v>63</v>
      </c>
      <c r="F172" s="164" t="s">
        <v>396</v>
      </c>
      <c r="G172" s="164" t="s">
        <v>332</v>
      </c>
      <c r="H172" s="55">
        <v>16</v>
      </c>
      <c r="I172" s="164" t="s">
        <v>1198</v>
      </c>
      <c r="J172" s="18">
        <v>1</v>
      </c>
      <c r="K172" s="30">
        <v>2.8</v>
      </c>
      <c r="L172" s="18">
        <v>3.8</v>
      </c>
      <c r="M172" s="161"/>
      <c r="N172" s="161"/>
    </row>
    <row r="173" spans="3:14">
      <c r="C173" s="18">
        <f t="shared" si="2"/>
        <v>14</v>
      </c>
      <c r="D173" s="18" t="s">
        <v>71</v>
      </c>
      <c r="E173" s="164">
        <v>63</v>
      </c>
      <c r="F173" s="164" t="s">
        <v>396</v>
      </c>
      <c r="G173" s="164" t="s">
        <v>702</v>
      </c>
      <c r="H173" s="55">
        <v>14</v>
      </c>
      <c r="I173" s="164" t="s">
        <v>1198</v>
      </c>
      <c r="J173" s="18">
        <v>1</v>
      </c>
      <c r="K173" s="30">
        <v>2.8</v>
      </c>
      <c r="L173" s="18">
        <v>3.8</v>
      </c>
      <c r="M173" s="161"/>
      <c r="N173" s="161"/>
    </row>
    <row r="174" spans="3:14">
      <c r="C174" s="18">
        <f t="shared" si="2"/>
        <v>15</v>
      </c>
      <c r="D174" s="18" t="s">
        <v>71</v>
      </c>
      <c r="E174" s="164">
        <v>63</v>
      </c>
      <c r="F174" s="164" t="s">
        <v>702</v>
      </c>
      <c r="G174" s="164" t="s">
        <v>796</v>
      </c>
      <c r="H174" s="55">
        <v>31.6</v>
      </c>
      <c r="I174" s="164" t="s">
        <v>1198</v>
      </c>
      <c r="J174" s="18">
        <v>1</v>
      </c>
      <c r="K174" s="30">
        <v>2.8</v>
      </c>
      <c r="L174" s="18">
        <v>3.8</v>
      </c>
      <c r="M174" s="161"/>
      <c r="N174" s="161"/>
    </row>
    <row r="175" spans="3:14">
      <c r="C175" s="18">
        <f t="shared" si="2"/>
        <v>16</v>
      </c>
      <c r="D175" s="18" t="s">
        <v>71</v>
      </c>
      <c r="E175" s="164">
        <v>63</v>
      </c>
      <c r="F175" s="164" t="s">
        <v>702</v>
      </c>
      <c r="G175" s="164" t="s">
        <v>375</v>
      </c>
      <c r="H175" s="55">
        <v>45.2</v>
      </c>
      <c r="I175" s="164" t="s">
        <v>1198</v>
      </c>
      <c r="J175" s="18">
        <v>1</v>
      </c>
      <c r="K175" s="30">
        <v>2.8</v>
      </c>
      <c r="L175" s="18">
        <v>3.8</v>
      </c>
      <c r="M175" s="161"/>
      <c r="N175" s="161"/>
    </row>
    <row r="176" spans="3:14">
      <c r="C176" s="18">
        <f t="shared" si="2"/>
        <v>17</v>
      </c>
      <c r="D176" s="18" t="s">
        <v>71</v>
      </c>
      <c r="E176" s="164">
        <v>63</v>
      </c>
      <c r="F176" s="164" t="s">
        <v>375</v>
      </c>
      <c r="G176" s="164" t="s">
        <v>252</v>
      </c>
      <c r="H176" s="55">
        <v>74.3</v>
      </c>
      <c r="I176" s="164" t="s">
        <v>1198</v>
      </c>
      <c r="J176" s="18">
        <v>1</v>
      </c>
      <c r="K176" s="30">
        <v>2.8</v>
      </c>
      <c r="L176" s="18">
        <v>3.8</v>
      </c>
      <c r="M176" s="161"/>
      <c r="N176" s="161"/>
    </row>
    <row r="177" spans="3:14">
      <c r="C177" s="18">
        <f t="shared" si="2"/>
        <v>18</v>
      </c>
      <c r="D177" s="18" t="s">
        <v>71</v>
      </c>
      <c r="E177" s="164">
        <v>63</v>
      </c>
      <c r="F177" s="164" t="s">
        <v>375</v>
      </c>
      <c r="G177" s="164" t="s">
        <v>344</v>
      </c>
      <c r="H177" s="55">
        <v>95.9</v>
      </c>
      <c r="I177" s="164" t="s">
        <v>1198</v>
      </c>
      <c r="J177" s="18">
        <v>1</v>
      </c>
      <c r="K177" s="30">
        <v>2.8</v>
      </c>
      <c r="L177" s="18">
        <v>3.8</v>
      </c>
      <c r="M177" s="161"/>
      <c r="N177" s="161"/>
    </row>
    <row r="178" spans="3:14">
      <c r="C178" s="18">
        <f t="shared" si="2"/>
        <v>19</v>
      </c>
      <c r="D178" s="18" t="s">
        <v>71</v>
      </c>
      <c r="E178" s="164">
        <v>63</v>
      </c>
      <c r="F178" s="164" t="s">
        <v>1059</v>
      </c>
      <c r="G178" s="164" t="s">
        <v>1238</v>
      </c>
      <c r="H178" s="55">
        <v>59.9</v>
      </c>
      <c r="I178" s="164" t="s">
        <v>1198</v>
      </c>
      <c r="J178" s="18">
        <v>1</v>
      </c>
      <c r="K178" s="30">
        <v>2.8</v>
      </c>
      <c r="L178" s="18">
        <v>3.8</v>
      </c>
      <c r="M178" s="161"/>
      <c r="N178" s="161"/>
    </row>
    <row r="179" spans="3:14">
      <c r="C179" s="18">
        <f t="shared" si="2"/>
        <v>20</v>
      </c>
      <c r="D179" s="18" t="s">
        <v>71</v>
      </c>
      <c r="E179" s="164">
        <v>63</v>
      </c>
      <c r="F179" s="164" t="s">
        <v>1238</v>
      </c>
      <c r="G179" s="164" t="s">
        <v>1239</v>
      </c>
      <c r="H179" s="55">
        <v>2.9</v>
      </c>
      <c r="I179" s="164" t="s">
        <v>1198</v>
      </c>
      <c r="J179" s="18">
        <v>1</v>
      </c>
      <c r="K179" s="30">
        <v>2.8</v>
      </c>
      <c r="L179" s="18">
        <v>3.8</v>
      </c>
      <c r="M179" s="161"/>
      <c r="N179" s="161"/>
    </row>
    <row r="180" spans="3:14">
      <c r="C180" s="18">
        <f t="shared" si="2"/>
        <v>21</v>
      </c>
      <c r="D180" s="18" t="s">
        <v>71</v>
      </c>
      <c r="E180" s="164">
        <v>63</v>
      </c>
      <c r="F180" s="164" t="s">
        <v>1238</v>
      </c>
      <c r="G180" s="164" t="s">
        <v>1239</v>
      </c>
      <c r="H180" s="55">
        <v>58.9</v>
      </c>
      <c r="I180" s="164" t="s">
        <v>1198</v>
      </c>
      <c r="J180" s="18">
        <v>1</v>
      </c>
      <c r="K180" s="30">
        <v>2.8</v>
      </c>
      <c r="L180" s="18">
        <v>3.8</v>
      </c>
      <c r="M180" s="161"/>
      <c r="N180" s="161"/>
    </row>
    <row r="181" spans="3:14">
      <c r="C181" s="18">
        <f t="shared" si="2"/>
        <v>22</v>
      </c>
      <c r="D181" s="18" t="s">
        <v>71</v>
      </c>
      <c r="E181" s="164">
        <v>63</v>
      </c>
      <c r="F181" s="164" t="s">
        <v>1238</v>
      </c>
      <c r="G181" s="164" t="s">
        <v>1239</v>
      </c>
      <c r="H181" s="55">
        <v>13.2</v>
      </c>
      <c r="I181" s="164" t="s">
        <v>1198</v>
      </c>
      <c r="J181" s="18">
        <v>1</v>
      </c>
      <c r="K181" s="30">
        <v>2.8</v>
      </c>
      <c r="L181" s="18">
        <v>3.8</v>
      </c>
      <c r="M181" s="161"/>
      <c r="N181" s="161"/>
    </row>
    <row r="182" spans="3:14">
      <c r="C182" s="18">
        <f t="shared" si="2"/>
        <v>23</v>
      </c>
      <c r="D182" s="18" t="s">
        <v>71</v>
      </c>
      <c r="E182" s="164">
        <v>63</v>
      </c>
      <c r="F182" s="164" t="s">
        <v>1041</v>
      </c>
      <c r="G182" s="164" t="s">
        <v>694</v>
      </c>
      <c r="H182" s="55">
        <v>3.2</v>
      </c>
      <c r="I182" s="164" t="s">
        <v>1198</v>
      </c>
      <c r="J182" s="18">
        <v>1</v>
      </c>
      <c r="K182" s="30">
        <v>2.8</v>
      </c>
      <c r="L182" s="18">
        <v>3.8</v>
      </c>
      <c r="M182" s="161"/>
      <c r="N182" s="161"/>
    </row>
    <row r="183" spans="3:14">
      <c r="C183" s="18">
        <f t="shared" si="2"/>
        <v>24</v>
      </c>
      <c r="D183" s="18" t="s">
        <v>71</v>
      </c>
      <c r="E183" s="164">
        <v>63</v>
      </c>
      <c r="F183" s="164" t="s">
        <v>1041</v>
      </c>
      <c r="G183" s="164" t="s">
        <v>694</v>
      </c>
      <c r="H183" s="55">
        <v>80.3</v>
      </c>
      <c r="I183" s="164" t="s">
        <v>1198</v>
      </c>
      <c r="J183" s="18">
        <v>1</v>
      </c>
      <c r="K183" s="30">
        <v>2.8</v>
      </c>
      <c r="L183" s="18">
        <v>3.8</v>
      </c>
      <c r="M183" s="161"/>
      <c r="N183" s="161"/>
    </row>
    <row r="184" spans="3:14">
      <c r="C184" s="18">
        <f t="shared" si="2"/>
        <v>25</v>
      </c>
      <c r="D184" s="18" t="s">
        <v>71</v>
      </c>
      <c r="E184" s="164">
        <v>63</v>
      </c>
      <c r="F184" s="164" t="s">
        <v>1041</v>
      </c>
      <c r="G184" s="164" t="s">
        <v>694</v>
      </c>
      <c r="H184" s="55">
        <v>133.69999999999999</v>
      </c>
      <c r="I184" s="164" t="s">
        <v>1198</v>
      </c>
      <c r="J184" s="18">
        <v>1</v>
      </c>
      <c r="K184" s="30">
        <v>2.8</v>
      </c>
      <c r="L184" s="18">
        <v>3.8</v>
      </c>
      <c r="M184" s="161"/>
      <c r="N184" s="161"/>
    </row>
    <row r="185" spans="3:14">
      <c r="C185" s="18">
        <f t="shared" si="2"/>
        <v>26</v>
      </c>
      <c r="D185" s="18" t="s">
        <v>71</v>
      </c>
      <c r="E185" s="164">
        <v>63</v>
      </c>
      <c r="F185" s="164" t="s">
        <v>1041</v>
      </c>
      <c r="G185" s="164" t="s">
        <v>155</v>
      </c>
      <c r="H185" s="55">
        <v>2.8</v>
      </c>
      <c r="I185" s="164" t="s">
        <v>1198</v>
      </c>
      <c r="J185" s="18">
        <v>1</v>
      </c>
      <c r="K185" s="30">
        <v>2.8</v>
      </c>
      <c r="L185" s="18">
        <v>3.8</v>
      </c>
      <c r="M185" s="161"/>
      <c r="N185" s="161"/>
    </row>
    <row r="186" spans="3:14">
      <c r="C186" s="18">
        <f t="shared" si="2"/>
        <v>27</v>
      </c>
      <c r="D186" s="18" t="s">
        <v>71</v>
      </c>
      <c r="E186" s="164">
        <v>63</v>
      </c>
      <c r="F186" s="164" t="s">
        <v>1041</v>
      </c>
      <c r="G186" s="164" t="s">
        <v>155</v>
      </c>
      <c r="H186" s="55">
        <v>99.3</v>
      </c>
      <c r="I186" s="164" t="s">
        <v>1198</v>
      </c>
      <c r="J186" s="18">
        <v>1</v>
      </c>
      <c r="K186" s="30">
        <v>2.8</v>
      </c>
      <c r="L186" s="18">
        <v>3.8</v>
      </c>
      <c r="M186" s="161"/>
      <c r="N186" s="161"/>
    </row>
    <row r="187" spans="3:14">
      <c r="C187" s="18">
        <f t="shared" si="2"/>
        <v>28</v>
      </c>
      <c r="D187" s="18" t="s">
        <v>71</v>
      </c>
      <c r="E187" s="164">
        <v>63</v>
      </c>
      <c r="F187" s="164" t="s">
        <v>1238</v>
      </c>
      <c r="G187" s="164" t="s">
        <v>1041</v>
      </c>
      <c r="H187" s="55">
        <v>140.1</v>
      </c>
      <c r="I187" s="164" t="s">
        <v>1198</v>
      </c>
      <c r="J187" s="18">
        <v>1</v>
      </c>
      <c r="K187" s="30">
        <v>2.8</v>
      </c>
      <c r="L187" s="18">
        <v>3.8</v>
      </c>
      <c r="M187" s="161"/>
      <c r="N187" s="161"/>
    </row>
    <row r="188" spans="3:14">
      <c r="C188" s="18">
        <f t="shared" si="2"/>
        <v>29</v>
      </c>
      <c r="D188" s="18" t="s">
        <v>71</v>
      </c>
      <c r="E188" s="164">
        <v>63</v>
      </c>
      <c r="F188" s="164" t="s">
        <v>1059</v>
      </c>
      <c r="G188" s="164" t="s">
        <v>206</v>
      </c>
      <c r="H188" s="55">
        <v>624.70000000000005</v>
      </c>
      <c r="I188" s="164" t="s">
        <v>1198</v>
      </c>
      <c r="J188" s="18">
        <v>1</v>
      </c>
      <c r="K188" s="30">
        <v>2.8</v>
      </c>
      <c r="L188" s="18">
        <v>3.8</v>
      </c>
      <c r="M188" s="161"/>
      <c r="N188" s="161"/>
    </row>
    <row r="189" spans="3:14">
      <c r="C189" s="18">
        <f t="shared" si="2"/>
        <v>30</v>
      </c>
      <c r="D189" s="18" t="s">
        <v>71</v>
      </c>
      <c r="E189" s="164">
        <v>63</v>
      </c>
      <c r="F189" s="164" t="s">
        <v>1059</v>
      </c>
      <c r="G189" s="164" t="s">
        <v>206</v>
      </c>
      <c r="H189" s="55">
        <v>20</v>
      </c>
      <c r="I189" s="164" t="s">
        <v>1198</v>
      </c>
      <c r="J189" s="18">
        <v>1</v>
      </c>
      <c r="K189" s="30">
        <v>2.8</v>
      </c>
      <c r="L189" s="18">
        <v>3.8</v>
      </c>
      <c r="M189" s="161"/>
      <c r="N189" s="161"/>
    </row>
    <row r="190" spans="3:14">
      <c r="C190" s="18">
        <f t="shared" si="2"/>
        <v>31</v>
      </c>
      <c r="D190" s="18" t="s">
        <v>71</v>
      </c>
      <c r="E190" s="164">
        <v>63</v>
      </c>
      <c r="F190" s="164" t="s">
        <v>1059</v>
      </c>
      <c r="G190" s="164" t="s">
        <v>206</v>
      </c>
      <c r="H190" s="55">
        <v>3.6</v>
      </c>
      <c r="I190" s="164" t="s">
        <v>1198</v>
      </c>
      <c r="J190" s="18">
        <v>1</v>
      </c>
      <c r="K190" s="30">
        <v>2.8</v>
      </c>
      <c r="L190" s="18">
        <v>3.8</v>
      </c>
      <c r="M190" s="161"/>
      <c r="N190" s="161"/>
    </row>
    <row r="191" spans="3:14">
      <c r="C191" s="18">
        <f t="shared" si="2"/>
        <v>32</v>
      </c>
      <c r="D191" s="18" t="s">
        <v>71</v>
      </c>
      <c r="E191" s="164">
        <v>63</v>
      </c>
      <c r="F191" s="164" t="s">
        <v>116</v>
      </c>
      <c r="G191" s="164" t="s">
        <v>167</v>
      </c>
      <c r="H191" s="55">
        <v>3.1</v>
      </c>
      <c r="I191" s="164" t="s">
        <v>1198</v>
      </c>
      <c r="J191" s="18">
        <v>1</v>
      </c>
      <c r="K191" s="30">
        <v>2.8</v>
      </c>
      <c r="L191" s="18">
        <v>3.8</v>
      </c>
      <c r="M191" s="161"/>
      <c r="N191" s="161"/>
    </row>
    <row r="192" spans="3:14">
      <c r="C192" s="18">
        <f t="shared" si="2"/>
        <v>33</v>
      </c>
      <c r="D192" s="18" t="s">
        <v>71</v>
      </c>
      <c r="E192" s="164">
        <v>63</v>
      </c>
      <c r="F192" s="164" t="s">
        <v>116</v>
      </c>
      <c r="G192" s="164" t="s">
        <v>167</v>
      </c>
      <c r="H192" s="55">
        <v>70.3</v>
      </c>
      <c r="I192" s="164" t="s">
        <v>1198</v>
      </c>
      <c r="J192" s="18">
        <v>1</v>
      </c>
      <c r="K192" s="30">
        <v>2.8</v>
      </c>
      <c r="L192" s="18">
        <v>3.8</v>
      </c>
      <c r="M192" s="161"/>
      <c r="N192" s="161"/>
    </row>
    <row r="193" spans="3:14">
      <c r="C193" s="18">
        <f t="shared" si="2"/>
        <v>34</v>
      </c>
      <c r="D193" s="18" t="s">
        <v>71</v>
      </c>
      <c r="E193" s="164">
        <v>63</v>
      </c>
      <c r="F193" s="164" t="s">
        <v>727</v>
      </c>
      <c r="G193" s="164" t="s">
        <v>786</v>
      </c>
      <c r="H193" s="55">
        <v>416.6</v>
      </c>
      <c r="I193" s="164" t="s">
        <v>1198</v>
      </c>
      <c r="J193" s="18">
        <v>1</v>
      </c>
      <c r="K193" s="30">
        <v>2.8</v>
      </c>
      <c r="L193" s="18">
        <v>3.8</v>
      </c>
      <c r="M193" s="161"/>
      <c r="N193" s="161"/>
    </row>
    <row r="194" spans="3:14">
      <c r="C194" s="18">
        <f t="shared" si="2"/>
        <v>35</v>
      </c>
      <c r="D194" s="18" t="s">
        <v>71</v>
      </c>
      <c r="E194" s="164">
        <v>63</v>
      </c>
      <c r="F194" s="164" t="s">
        <v>786</v>
      </c>
      <c r="G194" s="164" t="s">
        <v>300</v>
      </c>
      <c r="H194" s="55">
        <v>74</v>
      </c>
      <c r="I194" s="164" t="s">
        <v>1198</v>
      </c>
      <c r="J194" s="18">
        <v>1</v>
      </c>
      <c r="K194" s="30">
        <v>2.8</v>
      </c>
      <c r="L194" s="18">
        <v>3.8</v>
      </c>
      <c r="M194" s="161"/>
      <c r="N194" s="161"/>
    </row>
    <row r="195" spans="3:14">
      <c r="C195" s="18">
        <f t="shared" si="2"/>
        <v>36</v>
      </c>
      <c r="D195" s="18" t="s">
        <v>71</v>
      </c>
      <c r="E195" s="164">
        <v>63</v>
      </c>
      <c r="F195" s="164" t="s">
        <v>520</v>
      </c>
      <c r="G195" s="164" t="s">
        <v>338</v>
      </c>
      <c r="H195" s="55">
        <v>23.6</v>
      </c>
      <c r="I195" s="164" t="s">
        <v>1198</v>
      </c>
      <c r="J195" s="18">
        <v>1</v>
      </c>
      <c r="K195" s="30">
        <v>2.8</v>
      </c>
      <c r="L195" s="18">
        <v>3.8</v>
      </c>
      <c r="M195" s="161"/>
      <c r="N195" s="161"/>
    </row>
    <row r="196" spans="3:14">
      <c r="C196" s="18">
        <f t="shared" si="2"/>
        <v>37</v>
      </c>
      <c r="D196" s="18" t="s">
        <v>71</v>
      </c>
      <c r="E196" s="164">
        <v>63</v>
      </c>
      <c r="F196" s="164" t="s">
        <v>1190</v>
      </c>
      <c r="G196" s="164" t="s">
        <v>1191</v>
      </c>
      <c r="H196" s="55">
        <f>65.3+2</f>
        <v>67.3</v>
      </c>
      <c r="I196" s="164" t="s">
        <v>1198</v>
      </c>
      <c r="J196" s="18">
        <v>1</v>
      </c>
      <c r="K196" s="30">
        <v>2.8</v>
      </c>
      <c r="L196" s="18">
        <v>3.8</v>
      </c>
      <c r="M196" s="161"/>
      <c r="N196" s="161"/>
    </row>
    <row r="197" spans="3:14">
      <c r="C197" s="18">
        <f t="shared" si="2"/>
        <v>38</v>
      </c>
      <c r="D197" s="18" t="s">
        <v>71</v>
      </c>
      <c r="E197" s="164">
        <v>63</v>
      </c>
      <c r="F197" s="164" t="s">
        <v>445</v>
      </c>
      <c r="G197" s="164" t="s">
        <v>241</v>
      </c>
      <c r="H197" s="55">
        <v>65.400000000000006</v>
      </c>
      <c r="I197" s="164" t="s">
        <v>1198</v>
      </c>
      <c r="J197" s="18">
        <v>1</v>
      </c>
      <c r="K197" s="30">
        <v>2.8</v>
      </c>
      <c r="L197" s="18">
        <v>3.8</v>
      </c>
      <c r="M197" s="161"/>
      <c r="N197" s="161"/>
    </row>
    <row r="198" spans="3:14">
      <c r="C198" s="18">
        <f t="shared" si="2"/>
        <v>39</v>
      </c>
      <c r="D198" s="18" t="s">
        <v>71</v>
      </c>
      <c r="E198" s="164">
        <v>63</v>
      </c>
      <c r="F198" s="164" t="s">
        <v>537</v>
      </c>
      <c r="G198" s="164" t="s">
        <v>199</v>
      </c>
      <c r="H198" s="55">
        <v>39.6</v>
      </c>
      <c r="I198" s="164" t="s">
        <v>1198</v>
      </c>
      <c r="J198" s="18">
        <v>1</v>
      </c>
      <c r="K198" s="30">
        <v>2.8</v>
      </c>
      <c r="L198" s="18">
        <v>3.8</v>
      </c>
      <c r="M198" s="161"/>
      <c r="N198" s="161"/>
    </row>
    <row r="199" spans="3:14">
      <c r="C199" s="18">
        <f t="shared" si="2"/>
        <v>40</v>
      </c>
      <c r="D199" s="18" t="s">
        <v>71</v>
      </c>
      <c r="E199" s="164">
        <v>63</v>
      </c>
      <c r="F199" s="164" t="s">
        <v>180</v>
      </c>
      <c r="G199" s="164" t="s">
        <v>244</v>
      </c>
      <c r="H199" s="55">
        <v>3</v>
      </c>
      <c r="I199" s="164" t="s">
        <v>1198</v>
      </c>
      <c r="J199" s="18">
        <v>1</v>
      </c>
      <c r="K199" s="30">
        <v>2.8</v>
      </c>
      <c r="L199" s="18">
        <v>3.8</v>
      </c>
      <c r="M199" s="161"/>
      <c r="N199" s="161"/>
    </row>
    <row r="200" spans="3:14">
      <c r="C200" s="18">
        <f t="shared" si="2"/>
        <v>41</v>
      </c>
      <c r="D200" s="18" t="s">
        <v>71</v>
      </c>
      <c r="E200" s="164">
        <v>63</v>
      </c>
      <c r="F200" s="164" t="s">
        <v>180</v>
      </c>
      <c r="G200" s="164" t="s">
        <v>244</v>
      </c>
      <c r="H200" s="55">
        <v>65.599999999999994</v>
      </c>
      <c r="I200" s="164" t="s">
        <v>1198</v>
      </c>
      <c r="J200" s="18">
        <v>1</v>
      </c>
      <c r="K200" s="30">
        <v>2.8</v>
      </c>
      <c r="L200" s="18">
        <v>3.8</v>
      </c>
      <c r="M200" s="161"/>
      <c r="N200" s="161"/>
    </row>
    <row r="201" spans="3:14">
      <c r="C201" s="18">
        <f t="shared" si="2"/>
        <v>42</v>
      </c>
      <c r="D201" s="18" t="s">
        <v>71</v>
      </c>
      <c r="E201" s="164">
        <v>63</v>
      </c>
      <c r="F201" s="164" t="s">
        <v>1240</v>
      </c>
      <c r="G201" s="164" t="s">
        <v>1241</v>
      </c>
      <c r="H201" s="55">
        <v>63.1</v>
      </c>
      <c r="I201" s="164" t="s">
        <v>1198</v>
      </c>
      <c r="J201" s="18">
        <v>1</v>
      </c>
      <c r="K201" s="30">
        <v>2.8</v>
      </c>
      <c r="L201" s="18">
        <v>3.8</v>
      </c>
      <c r="M201" s="161"/>
      <c r="N201" s="161"/>
    </row>
    <row r="202" spans="3:14">
      <c r="C202" s="18"/>
      <c r="D202" s="18"/>
      <c r="E202" s="19"/>
      <c r="F202" s="19"/>
      <c r="G202" s="19"/>
      <c r="H202" s="164"/>
      <c r="I202" s="164"/>
      <c r="J202" s="18"/>
      <c r="K202" s="30"/>
      <c r="L202" s="18"/>
      <c r="M202" s="161"/>
      <c r="N202" s="161"/>
    </row>
    <row r="203" spans="3:14">
      <c r="C203" s="374"/>
      <c r="D203" s="374"/>
      <c r="E203" s="374"/>
      <c r="F203" s="374"/>
      <c r="G203" s="374"/>
      <c r="H203" s="374"/>
      <c r="I203" s="374"/>
      <c r="J203" s="374"/>
      <c r="K203" s="374"/>
      <c r="L203" s="374"/>
      <c r="M203" s="374"/>
      <c r="N203" s="374"/>
    </row>
    <row r="204" spans="3:14">
      <c r="C204" s="324"/>
      <c r="D204" s="324"/>
      <c r="E204" s="325" t="s">
        <v>86</v>
      </c>
      <c r="F204" s="325"/>
      <c r="G204" s="325"/>
      <c r="H204" s="325"/>
      <c r="I204" s="325" t="s">
        <v>87</v>
      </c>
      <c r="J204" s="325"/>
      <c r="K204" s="325"/>
      <c r="L204" s="325" t="s">
        <v>39</v>
      </c>
      <c r="M204" s="325"/>
      <c r="N204" s="325"/>
    </row>
    <row r="205" spans="3:14">
      <c r="C205" s="295" t="s">
        <v>40</v>
      </c>
      <c r="D205" s="295"/>
      <c r="E205" s="317"/>
      <c r="F205" s="317"/>
      <c r="G205" s="317"/>
      <c r="H205" s="317"/>
      <c r="I205" s="317"/>
      <c r="J205" s="317"/>
      <c r="K205" s="317"/>
      <c r="L205" s="317"/>
      <c r="M205" s="317"/>
      <c r="N205" s="317"/>
    </row>
    <row r="206" spans="3:14">
      <c r="C206" s="295" t="s">
        <v>41</v>
      </c>
      <c r="D206" s="295"/>
      <c r="E206" s="317"/>
      <c r="F206" s="317"/>
      <c r="G206" s="317"/>
      <c r="H206" s="317"/>
      <c r="I206" s="317"/>
      <c r="J206" s="317"/>
      <c r="K206" s="317"/>
      <c r="L206" s="317"/>
      <c r="M206" s="317"/>
      <c r="N206" s="317"/>
    </row>
    <row r="207" spans="3:14">
      <c r="C207" s="295" t="s">
        <v>42</v>
      </c>
      <c r="D207" s="295"/>
      <c r="E207" s="317"/>
      <c r="F207" s="317"/>
      <c r="G207" s="317"/>
      <c r="H207" s="317"/>
      <c r="I207" s="317"/>
      <c r="J207" s="317"/>
      <c r="K207" s="317"/>
      <c r="L207" s="317"/>
      <c r="M207" s="317"/>
      <c r="N207" s="317"/>
    </row>
    <row r="208" spans="3:14">
      <c r="C208" s="295" t="s">
        <v>43</v>
      </c>
      <c r="D208" s="295"/>
      <c r="E208" s="315"/>
      <c r="F208" s="316"/>
      <c r="G208" s="316"/>
      <c r="H208" s="316"/>
      <c r="I208" s="317"/>
      <c r="J208" s="317"/>
      <c r="K208" s="317"/>
      <c r="L208" s="317"/>
      <c r="M208" s="317"/>
      <c r="N208" s="317"/>
    </row>
    <row r="209" spans="3:14" ht="15.75" thickBot="1"/>
    <row r="210" spans="3:14">
      <c r="C210" s="206"/>
      <c r="D210" s="211" t="s">
        <v>44</v>
      </c>
      <c r="E210" s="212"/>
      <c r="F210" s="212"/>
      <c r="G210" s="212"/>
      <c r="H210" s="212"/>
      <c r="I210" s="212"/>
      <c r="J210" s="212"/>
      <c r="K210" s="212"/>
      <c r="L210" s="20"/>
      <c r="M210" s="20"/>
      <c r="N210" s="21"/>
    </row>
    <row r="211" spans="3:14">
      <c r="C211" s="207"/>
      <c r="D211" s="214"/>
      <c r="E211" s="215"/>
      <c r="F211" s="215"/>
      <c r="G211" s="215"/>
      <c r="H211" s="215"/>
      <c r="I211" s="215"/>
      <c r="J211" s="215"/>
      <c r="K211" s="215"/>
      <c r="N211" s="22"/>
    </row>
    <row r="212" spans="3:14">
      <c r="C212" s="207"/>
      <c r="D212" s="214"/>
      <c r="E212" s="215"/>
      <c r="F212" s="215"/>
      <c r="G212" s="215"/>
      <c r="H212" s="215"/>
      <c r="I212" s="215"/>
      <c r="J212" s="215"/>
      <c r="K212" s="215"/>
      <c r="N212" s="22"/>
    </row>
    <row r="213" spans="3:14">
      <c r="C213" s="207"/>
      <c r="D213" s="289"/>
      <c r="E213" s="290"/>
      <c r="F213" s="290"/>
      <c r="G213" s="290"/>
      <c r="H213" s="290"/>
      <c r="I213" s="290"/>
      <c r="J213" s="290"/>
      <c r="K213" s="290"/>
      <c r="N213" s="22"/>
    </row>
    <row r="214" spans="3:14" ht="16.5">
      <c r="C214" s="223" t="s">
        <v>45</v>
      </c>
      <c r="D214" s="224"/>
      <c r="E214" s="159" t="s">
        <v>46</v>
      </c>
      <c r="F214" s="160"/>
      <c r="G214" s="160"/>
      <c r="H214" s="160"/>
      <c r="I214" s="160"/>
      <c r="J214" s="160"/>
      <c r="K214" s="160"/>
      <c r="L214" s="160"/>
      <c r="M214" s="160"/>
      <c r="N214" s="23"/>
    </row>
    <row r="215" spans="3:14" ht="16.5">
      <c r="C215" s="223" t="s">
        <v>48</v>
      </c>
      <c r="D215" s="224"/>
      <c r="E215" s="159" t="s">
        <v>49</v>
      </c>
      <c r="F215" s="160"/>
      <c r="G215" s="160"/>
      <c r="H215" s="160"/>
      <c r="I215" s="160"/>
      <c r="J215" s="160"/>
      <c r="K215" s="160"/>
      <c r="L215" s="160"/>
      <c r="M215" s="160"/>
      <c r="N215" s="23"/>
    </row>
    <row r="216" spans="3:14" ht="16.5">
      <c r="C216" s="225" t="s">
        <v>50</v>
      </c>
      <c r="D216" s="226"/>
      <c r="E216" s="159" t="s">
        <v>51</v>
      </c>
      <c r="F216" s="160"/>
      <c r="G216" s="160"/>
      <c r="H216" s="160"/>
      <c r="I216" s="160"/>
      <c r="J216" s="160"/>
      <c r="K216" s="160"/>
      <c r="L216" s="160"/>
      <c r="M216" s="160"/>
      <c r="N216" s="23"/>
    </row>
    <row r="217" spans="3:14" ht="16.5">
      <c r="C217" s="223" t="s">
        <v>52</v>
      </c>
      <c r="D217" s="224"/>
      <c r="E217" s="159" t="s">
        <v>53</v>
      </c>
      <c r="F217" s="160"/>
      <c r="G217" s="160"/>
      <c r="H217" s="160"/>
      <c r="I217" s="160"/>
      <c r="J217" s="160"/>
      <c r="K217" s="160"/>
      <c r="L217" s="160"/>
      <c r="M217" s="160"/>
      <c r="N217" s="23"/>
    </row>
    <row r="218" spans="3:14" ht="15.75">
      <c r="C218" s="227" t="s">
        <v>1214</v>
      </c>
      <c r="D218" s="228"/>
      <c r="E218" s="228"/>
      <c r="F218" s="228"/>
      <c r="G218" s="228"/>
      <c r="H218" s="228"/>
      <c r="I218" s="228"/>
      <c r="J218" s="228"/>
      <c r="K218" s="228"/>
      <c r="L218" s="228"/>
      <c r="M218" s="228"/>
      <c r="N218" s="229"/>
    </row>
    <row r="219" spans="3:14" ht="15.75">
      <c r="C219" s="11" t="s">
        <v>55</v>
      </c>
      <c r="E219" s="12"/>
      <c r="F219" s="12"/>
      <c r="G219" s="12"/>
      <c r="H219" s="12"/>
      <c r="I219" s="24" t="s">
        <v>56</v>
      </c>
      <c r="J219" s="25"/>
      <c r="K219" s="12"/>
      <c r="L219" s="12"/>
      <c r="M219" s="12"/>
      <c r="N219" s="26"/>
    </row>
    <row r="220" spans="3:14">
      <c r="C220" s="217"/>
      <c r="D220" s="218"/>
      <c r="E220" s="218"/>
      <c r="F220" s="218"/>
      <c r="G220" s="218"/>
      <c r="H220" s="218"/>
      <c r="I220" s="218"/>
      <c r="J220" s="218"/>
      <c r="K220" s="218"/>
      <c r="L220" s="218"/>
      <c r="M220" s="218"/>
      <c r="N220" s="219"/>
    </row>
    <row r="221" spans="3:14" ht="15.75">
      <c r="C221" s="162" t="s">
        <v>103</v>
      </c>
      <c r="D221" s="355"/>
      <c r="E221" s="356"/>
      <c r="F221" s="356"/>
      <c r="G221" s="356"/>
      <c r="H221" s="357"/>
      <c r="I221" s="368" t="s">
        <v>542</v>
      </c>
      <c r="J221" s="369"/>
      <c r="K221" s="369"/>
      <c r="L221" s="369"/>
      <c r="M221" s="369"/>
      <c r="N221" s="370"/>
    </row>
    <row r="222" spans="3:14">
      <c r="C222" s="329" t="s">
        <v>59</v>
      </c>
      <c r="D222" s="209" t="s">
        <v>60</v>
      </c>
      <c r="E222" s="209" t="s">
        <v>659</v>
      </c>
      <c r="F222" s="209" t="s">
        <v>62</v>
      </c>
      <c r="G222" s="209" t="s">
        <v>63</v>
      </c>
      <c r="H222" s="209" t="s">
        <v>64</v>
      </c>
      <c r="I222" s="209" t="s">
        <v>65</v>
      </c>
      <c r="J222" s="342" t="s">
        <v>66</v>
      </c>
      <c r="K222" s="343"/>
      <c r="L222" s="344"/>
      <c r="M222" s="209" t="s">
        <v>30</v>
      </c>
      <c r="N222" s="328" t="s">
        <v>67</v>
      </c>
    </row>
    <row r="223" spans="3:14" ht="60">
      <c r="C223" s="359"/>
      <c r="D223" s="292"/>
      <c r="E223" s="292"/>
      <c r="F223" s="292"/>
      <c r="G223" s="292"/>
      <c r="H223" s="292"/>
      <c r="I223" s="292"/>
      <c r="J223" s="163" t="s">
        <v>68</v>
      </c>
      <c r="K223" s="28" t="s">
        <v>999</v>
      </c>
      <c r="L223" s="163" t="s">
        <v>70</v>
      </c>
      <c r="M223" s="292"/>
      <c r="N223" s="360"/>
    </row>
    <row r="224" spans="3:14">
      <c r="C224" s="18">
        <v>1</v>
      </c>
      <c r="D224" s="18" t="s">
        <v>71</v>
      </c>
      <c r="E224" s="164">
        <v>63</v>
      </c>
      <c r="F224" s="164" t="s">
        <v>310</v>
      </c>
      <c r="G224" s="164" t="s">
        <v>769</v>
      </c>
      <c r="H224" s="55">
        <f>64.6+3</f>
        <v>67.599999999999994</v>
      </c>
      <c r="I224" s="164" t="s">
        <v>1159</v>
      </c>
      <c r="J224" s="18">
        <v>1.4</v>
      </c>
      <c r="K224" s="30">
        <v>3</v>
      </c>
      <c r="L224" s="18">
        <v>4.4000000000000004</v>
      </c>
      <c r="M224" s="161"/>
      <c r="N224" s="161"/>
    </row>
    <row r="225" spans="3:14">
      <c r="C225" s="18">
        <f>1+C224</f>
        <v>2</v>
      </c>
      <c r="D225" s="18" t="s">
        <v>71</v>
      </c>
      <c r="E225" s="164">
        <v>63</v>
      </c>
      <c r="F225" s="164" t="s">
        <v>1107</v>
      </c>
      <c r="G225" s="164" t="s">
        <v>305</v>
      </c>
      <c r="H225" s="55">
        <f>7.6+14.5</f>
        <v>22.1</v>
      </c>
      <c r="I225" s="164" t="s">
        <v>1159</v>
      </c>
      <c r="J225" s="18">
        <v>1.4</v>
      </c>
      <c r="K225" s="30">
        <v>3</v>
      </c>
      <c r="L225" s="18">
        <v>4.4000000000000004</v>
      </c>
      <c r="M225" s="161"/>
      <c r="N225" s="161"/>
    </row>
    <row r="226" spans="3:14">
      <c r="C226" s="18">
        <f t="shared" ref="C226:C273" si="3">1+C225</f>
        <v>3</v>
      </c>
      <c r="D226" s="18" t="s">
        <v>71</v>
      </c>
      <c r="E226" s="164">
        <v>63</v>
      </c>
      <c r="F226" s="164" t="s">
        <v>1107</v>
      </c>
      <c r="G226" s="164" t="s">
        <v>305</v>
      </c>
      <c r="H226" s="55">
        <v>6.7</v>
      </c>
      <c r="I226" s="164" t="s">
        <v>1159</v>
      </c>
      <c r="J226" s="18">
        <v>1.4</v>
      </c>
      <c r="K226" s="30">
        <v>3</v>
      </c>
      <c r="L226" s="18">
        <v>4.4000000000000004</v>
      </c>
      <c r="M226" s="161"/>
      <c r="N226" s="161"/>
    </row>
    <row r="227" spans="3:14">
      <c r="C227" s="18">
        <f t="shared" si="3"/>
        <v>4</v>
      </c>
      <c r="D227" s="18" t="s">
        <v>71</v>
      </c>
      <c r="E227" s="164">
        <v>63</v>
      </c>
      <c r="F227" s="164" t="s">
        <v>369</v>
      </c>
      <c r="G227" s="164" t="s">
        <v>370</v>
      </c>
      <c r="H227" s="55">
        <v>3.6</v>
      </c>
      <c r="I227" s="164" t="s">
        <v>1159</v>
      </c>
      <c r="J227" s="18">
        <v>1.4</v>
      </c>
      <c r="K227" s="30">
        <v>3</v>
      </c>
      <c r="L227" s="18">
        <v>4.4000000000000004</v>
      </c>
      <c r="M227" s="161"/>
      <c r="N227" s="161"/>
    </row>
    <row r="228" spans="3:14">
      <c r="C228" s="18">
        <f t="shared" si="3"/>
        <v>5</v>
      </c>
      <c r="D228" s="18" t="s">
        <v>71</v>
      </c>
      <c r="E228" s="164">
        <v>63</v>
      </c>
      <c r="F228" s="164" t="s">
        <v>369</v>
      </c>
      <c r="G228" s="164" t="s">
        <v>370</v>
      </c>
      <c r="H228" s="55">
        <v>50</v>
      </c>
      <c r="I228" s="164" t="s">
        <v>1159</v>
      </c>
      <c r="J228" s="18">
        <v>1.4</v>
      </c>
      <c r="K228" s="30">
        <v>3</v>
      </c>
      <c r="L228" s="18">
        <v>4.4000000000000004</v>
      </c>
      <c r="M228" s="161"/>
      <c r="N228" s="161"/>
    </row>
    <row r="229" spans="3:14">
      <c r="C229" s="18">
        <f t="shared" si="3"/>
        <v>6</v>
      </c>
      <c r="D229" s="18" t="s">
        <v>71</v>
      </c>
      <c r="E229" s="164">
        <v>63</v>
      </c>
      <c r="F229" s="164" t="s">
        <v>370</v>
      </c>
      <c r="G229" s="164" t="s">
        <v>1242</v>
      </c>
      <c r="H229" s="55">
        <v>4.5</v>
      </c>
      <c r="I229" s="164" t="s">
        <v>1159</v>
      </c>
      <c r="J229" s="18">
        <v>1.4</v>
      </c>
      <c r="K229" s="30">
        <v>3</v>
      </c>
      <c r="L229" s="18">
        <v>4.4000000000000004</v>
      </c>
      <c r="M229" s="161"/>
      <c r="N229" s="161"/>
    </row>
    <row r="230" spans="3:14">
      <c r="C230" s="18">
        <f t="shared" si="3"/>
        <v>7</v>
      </c>
      <c r="D230" s="18" t="s">
        <v>71</v>
      </c>
      <c r="E230" s="164">
        <v>63</v>
      </c>
      <c r="F230" s="164" t="s">
        <v>370</v>
      </c>
      <c r="G230" s="164" t="s">
        <v>1242</v>
      </c>
      <c r="H230" s="55">
        <v>19.3</v>
      </c>
      <c r="I230" s="164" t="s">
        <v>1159</v>
      </c>
      <c r="J230" s="18">
        <v>1.4</v>
      </c>
      <c r="K230" s="30">
        <v>3</v>
      </c>
      <c r="L230" s="18">
        <v>4.4000000000000004</v>
      </c>
      <c r="M230" s="161"/>
      <c r="N230" s="161"/>
    </row>
    <row r="231" spans="3:14">
      <c r="C231" s="18">
        <f t="shared" si="3"/>
        <v>8</v>
      </c>
      <c r="D231" s="18" t="s">
        <v>71</v>
      </c>
      <c r="E231" s="164">
        <v>63</v>
      </c>
      <c r="F231" s="164" t="s">
        <v>1243</v>
      </c>
      <c r="G231" s="164" t="s">
        <v>1244</v>
      </c>
      <c r="H231" s="55">
        <v>16.100000000000001</v>
      </c>
      <c r="I231" s="164" t="s">
        <v>1159</v>
      </c>
      <c r="J231" s="18">
        <v>1.4</v>
      </c>
      <c r="K231" s="30">
        <v>3</v>
      </c>
      <c r="L231" s="18">
        <v>4.4000000000000004</v>
      </c>
      <c r="M231" s="161"/>
      <c r="N231" s="161"/>
    </row>
    <row r="232" spans="3:14">
      <c r="C232" s="18">
        <f t="shared" si="3"/>
        <v>9</v>
      </c>
      <c r="D232" s="18" t="s">
        <v>71</v>
      </c>
      <c r="E232" s="164">
        <v>63</v>
      </c>
      <c r="F232" s="164" t="s">
        <v>1243</v>
      </c>
      <c r="G232" s="164" t="s">
        <v>1244</v>
      </c>
      <c r="H232" s="55">
        <v>3.7</v>
      </c>
      <c r="I232" s="164" t="s">
        <v>1159</v>
      </c>
      <c r="J232" s="18">
        <v>1.4</v>
      </c>
      <c r="K232" s="30">
        <v>3</v>
      </c>
      <c r="L232" s="18">
        <v>4.4000000000000004</v>
      </c>
      <c r="M232" s="161"/>
      <c r="N232" s="161"/>
    </row>
    <row r="233" spans="3:14">
      <c r="C233" s="18">
        <f t="shared" si="3"/>
        <v>10</v>
      </c>
      <c r="D233" s="18" t="s">
        <v>71</v>
      </c>
      <c r="E233" s="164">
        <v>63</v>
      </c>
      <c r="F233" s="164" t="s">
        <v>1242</v>
      </c>
      <c r="G233" s="164" t="s">
        <v>1245</v>
      </c>
      <c r="H233" s="55">
        <v>47.8</v>
      </c>
      <c r="I233" s="164" t="s">
        <v>1159</v>
      </c>
      <c r="J233" s="18">
        <v>1.4</v>
      </c>
      <c r="K233" s="30">
        <v>3</v>
      </c>
      <c r="L233" s="18">
        <v>4.4000000000000004</v>
      </c>
      <c r="M233" s="161"/>
      <c r="N233" s="161"/>
    </row>
    <row r="234" spans="3:14">
      <c r="C234" s="18">
        <f t="shared" si="3"/>
        <v>11</v>
      </c>
      <c r="D234" s="18" t="s">
        <v>71</v>
      </c>
      <c r="E234" s="164">
        <v>63</v>
      </c>
      <c r="F234" s="164" t="s">
        <v>369</v>
      </c>
      <c r="G234" s="164" t="s">
        <v>1246</v>
      </c>
      <c r="H234" s="55">
        <v>3</v>
      </c>
      <c r="I234" s="164" t="s">
        <v>1159</v>
      </c>
      <c r="J234" s="18">
        <v>1.4</v>
      </c>
      <c r="K234" s="30">
        <v>3</v>
      </c>
      <c r="L234" s="18">
        <v>4.4000000000000004</v>
      </c>
      <c r="M234" s="161"/>
      <c r="N234" s="161"/>
    </row>
    <row r="235" spans="3:14">
      <c r="C235" s="18">
        <f t="shared" si="3"/>
        <v>12</v>
      </c>
      <c r="D235" s="18" t="s">
        <v>71</v>
      </c>
      <c r="E235" s="164">
        <v>63</v>
      </c>
      <c r="F235" s="164" t="s">
        <v>369</v>
      </c>
      <c r="G235" s="164" t="s">
        <v>1246</v>
      </c>
      <c r="H235" s="55">
        <v>20.100000000000001</v>
      </c>
      <c r="I235" s="164" t="s">
        <v>1159</v>
      </c>
      <c r="J235" s="18">
        <v>1.4</v>
      </c>
      <c r="K235" s="30">
        <v>3</v>
      </c>
      <c r="L235" s="18">
        <v>4.4000000000000004</v>
      </c>
      <c r="M235" s="161"/>
      <c r="N235" s="161"/>
    </row>
    <row r="236" spans="3:14">
      <c r="C236" s="18">
        <f t="shared" si="3"/>
        <v>13</v>
      </c>
      <c r="D236" s="18" t="s">
        <v>71</v>
      </c>
      <c r="E236" s="164">
        <v>63</v>
      </c>
      <c r="F236" s="164" t="s">
        <v>786</v>
      </c>
      <c r="G236" s="164" t="s">
        <v>620</v>
      </c>
      <c r="H236" s="55">
        <v>203</v>
      </c>
      <c r="I236" s="164" t="s">
        <v>1159</v>
      </c>
      <c r="J236" s="18">
        <v>1.4</v>
      </c>
      <c r="K236" s="30">
        <v>3</v>
      </c>
      <c r="L236" s="18">
        <v>4.4000000000000004</v>
      </c>
      <c r="M236" s="161"/>
      <c r="N236" s="161"/>
    </row>
    <row r="237" spans="3:14">
      <c r="C237" s="18">
        <f t="shared" si="3"/>
        <v>14</v>
      </c>
      <c r="D237" s="18" t="s">
        <v>71</v>
      </c>
      <c r="E237" s="164">
        <v>63</v>
      </c>
      <c r="F237" s="164" t="s">
        <v>620</v>
      </c>
      <c r="G237" s="164" t="s">
        <v>507</v>
      </c>
      <c r="H237" s="55">
        <v>248.5</v>
      </c>
      <c r="I237" s="164" t="s">
        <v>1159</v>
      </c>
      <c r="J237" s="18">
        <v>1.4</v>
      </c>
      <c r="K237" s="30">
        <v>3</v>
      </c>
      <c r="L237" s="18">
        <v>4.4000000000000004</v>
      </c>
      <c r="M237" s="161"/>
      <c r="N237" s="161"/>
    </row>
    <row r="238" spans="3:14">
      <c r="C238" s="18">
        <f t="shared" si="3"/>
        <v>15</v>
      </c>
      <c r="D238" s="18" t="s">
        <v>71</v>
      </c>
      <c r="E238" s="164">
        <v>63</v>
      </c>
      <c r="F238" s="164" t="s">
        <v>736</v>
      </c>
      <c r="G238" s="164" t="s">
        <v>313</v>
      </c>
      <c r="H238" s="55">
        <v>158.4</v>
      </c>
      <c r="I238" s="164" t="s">
        <v>1159</v>
      </c>
      <c r="J238" s="18">
        <v>1.4</v>
      </c>
      <c r="K238" s="30">
        <v>3</v>
      </c>
      <c r="L238" s="18">
        <v>4.4000000000000004</v>
      </c>
      <c r="M238" s="161"/>
      <c r="N238" s="161"/>
    </row>
    <row r="239" spans="3:14">
      <c r="C239" s="18">
        <f t="shared" si="3"/>
        <v>16</v>
      </c>
      <c r="D239" s="18" t="s">
        <v>71</v>
      </c>
      <c r="E239" s="164">
        <v>63</v>
      </c>
      <c r="F239" s="164" t="s">
        <v>736</v>
      </c>
      <c r="G239" s="164" t="s">
        <v>313</v>
      </c>
      <c r="H239" s="55">
        <v>4.2</v>
      </c>
      <c r="I239" s="164" t="s">
        <v>1159</v>
      </c>
      <c r="J239" s="18">
        <v>1.4</v>
      </c>
      <c r="K239" s="30">
        <v>3</v>
      </c>
      <c r="L239" s="18">
        <v>4.4000000000000004</v>
      </c>
      <c r="M239" s="161"/>
      <c r="N239" s="161"/>
    </row>
    <row r="240" spans="3:14">
      <c r="C240" s="18">
        <f t="shared" si="3"/>
        <v>17</v>
      </c>
      <c r="D240" s="18" t="s">
        <v>71</v>
      </c>
      <c r="E240" s="164">
        <v>63</v>
      </c>
      <c r="F240" s="164" t="s">
        <v>313</v>
      </c>
      <c r="G240" s="164" t="s">
        <v>312</v>
      </c>
      <c r="H240" s="55">
        <v>298.89999999999998</v>
      </c>
      <c r="I240" s="164" t="s">
        <v>1159</v>
      </c>
      <c r="J240" s="18">
        <v>1.4</v>
      </c>
      <c r="K240" s="30">
        <v>3</v>
      </c>
      <c r="L240" s="18">
        <v>4.4000000000000004</v>
      </c>
      <c r="M240" s="161"/>
      <c r="N240" s="161"/>
    </row>
    <row r="241" spans="3:14">
      <c r="C241" s="18">
        <f t="shared" si="3"/>
        <v>18</v>
      </c>
      <c r="D241" s="18" t="s">
        <v>71</v>
      </c>
      <c r="E241" s="164">
        <v>63</v>
      </c>
      <c r="F241" s="164" t="s">
        <v>313</v>
      </c>
      <c r="G241" s="164" t="s">
        <v>366</v>
      </c>
      <c r="H241" s="55">
        <v>371.1</v>
      </c>
      <c r="I241" s="164" t="s">
        <v>1159</v>
      </c>
      <c r="J241" s="18">
        <v>1.4</v>
      </c>
      <c r="K241" s="30">
        <v>3</v>
      </c>
      <c r="L241" s="18">
        <v>4.4000000000000004</v>
      </c>
      <c r="M241" s="161"/>
      <c r="N241" s="161"/>
    </row>
    <row r="242" spans="3:14">
      <c r="C242" s="18">
        <f t="shared" si="3"/>
        <v>19</v>
      </c>
      <c r="D242" s="18" t="s">
        <v>71</v>
      </c>
      <c r="E242" s="164">
        <v>63</v>
      </c>
      <c r="F242" s="164" t="s">
        <v>736</v>
      </c>
      <c r="G242" s="164" t="s">
        <v>803</v>
      </c>
      <c r="H242" s="55">
        <v>3</v>
      </c>
      <c r="I242" s="164" t="s">
        <v>1159</v>
      </c>
      <c r="J242" s="18">
        <v>1.4</v>
      </c>
      <c r="K242" s="30">
        <v>3</v>
      </c>
      <c r="L242" s="18">
        <v>4.4000000000000004</v>
      </c>
      <c r="M242" s="161"/>
      <c r="N242" s="161"/>
    </row>
    <row r="243" spans="3:14">
      <c r="C243" s="18">
        <f t="shared" si="3"/>
        <v>20</v>
      </c>
      <c r="D243" s="18" t="s">
        <v>71</v>
      </c>
      <c r="E243" s="164">
        <v>63</v>
      </c>
      <c r="F243" s="164" t="s">
        <v>736</v>
      </c>
      <c r="G243" s="164" t="s">
        <v>803</v>
      </c>
      <c r="H243" s="55">
        <v>152.5</v>
      </c>
      <c r="I243" s="164" t="s">
        <v>1159</v>
      </c>
      <c r="J243" s="18">
        <v>1.4</v>
      </c>
      <c r="K243" s="30">
        <v>3</v>
      </c>
      <c r="L243" s="18">
        <v>4.4000000000000004</v>
      </c>
      <c r="M243" s="161"/>
      <c r="N243" s="161"/>
    </row>
    <row r="244" spans="3:14">
      <c r="C244" s="18">
        <f t="shared" si="3"/>
        <v>21</v>
      </c>
      <c r="D244" s="18" t="s">
        <v>71</v>
      </c>
      <c r="E244" s="164">
        <v>63</v>
      </c>
      <c r="F244" s="164" t="s">
        <v>803</v>
      </c>
      <c r="G244" s="164" t="s">
        <v>721</v>
      </c>
      <c r="H244" s="55">
        <v>98.9</v>
      </c>
      <c r="I244" s="164" t="s">
        <v>1159</v>
      </c>
      <c r="J244" s="18">
        <v>1.4</v>
      </c>
      <c r="K244" s="30">
        <v>3</v>
      </c>
      <c r="L244" s="18">
        <v>4.4000000000000004</v>
      </c>
      <c r="M244" s="161"/>
      <c r="N244" s="161"/>
    </row>
    <row r="245" spans="3:14">
      <c r="C245" s="18">
        <f t="shared" si="3"/>
        <v>22</v>
      </c>
      <c r="D245" s="18" t="s">
        <v>71</v>
      </c>
      <c r="E245" s="164">
        <v>63</v>
      </c>
      <c r="F245" s="164" t="s">
        <v>803</v>
      </c>
      <c r="G245" s="164" t="s">
        <v>430</v>
      </c>
      <c r="H245" s="55">
        <v>42.9</v>
      </c>
      <c r="I245" s="164" t="s">
        <v>1159</v>
      </c>
      <c r="J245" s="18">
        <v>1.4</v>
      </c>
      <c r="K245" s="30">
        <v>3</v>
      </c>
      <c r="L245" s="18">
        <v>4.4000000000000004</v>
      </c>
      <c r="M245" s="161"/>
      <c r="N245" s="161"/>
    </row>
    <row r="246" spans="3:14">
      <c r="C246" s="18">
        <f t="shared" si="3"/>
        <v>23</v>
      </c>
      <c r="D246" s="18" t="s">
        <v>71</v>
      </c>
      <c r="E246" s="164">
        <v>63</v>
      </c>
      <c r="F246" s="164" t="s">
        <v>430</v>
      </c>
      <c r="G246" s="164" t="s">
        <v>350</v>
      </c>
      <c r="H246" s="55">
        <v>33</v>
      </c>
      <c r="I246" s="164" t="s">
        <v>1159</v>
      </c>
      <c r="J246" s="18">
        <v>1.4</v>
      </c>
      <c r="K246" s="30">
        <v>3</v>
      </c>
      <c r="L246" s="18">
        <v>4.4000000000000004</v>
      </c>
      <c r="M246" s="161"/>
      <c r="N246" s="161"/>
    </row>
    <row r="247" spans="3:14">
      <c r="C247" s="18">
        <f t="shared" si="3"/>
        <v>24</v>
      </c>
      <c r="D247" s="18" t="s">
        <v>71</v>
      </c>
      <c r="E247" s="164">
        <v>63</v>
      </c>
      <c r="F247" s="164" t="s">
        <v>430</v>
      </c>
      <c r="G247" s="164" t="s">
        <v>83</v>
      </c>
      <c r="H247" s="55">
        <v>41.3</v>
      </c>
      <c r="I247" s="164" t="s">
        <v>1159</v>
      </c>
      <c r="J247" s="18">
        <v>1.4</v>
      </c>
      <c r="K247" s="30">
        <v>3</v>
      </c>
      <c r="L247" s="18">
        <v>4.4000000000000004</v>
      </c>
      <c r="M247" s="161"/>
      <c r="N247" s="161"/>
    </row>
    <row r="248" spans="3:14">
      <c r="C248" s="18">
        <f t="shared" si="3"/>
        <v>25</v>
      </c>
      <c r="D248" s="18" t="s">
        <v>71</v>
      </c>
      <c r="E248" s="164">
        <v>63</v>
      </c>
      <c r="F248" s="164" t="s">
        <v>83</v>
      </c>
      <c r="G248" s="164" t="s">
        <v>727</v>
      </c>
      <c r="H248" s="55">
        <f>55.3+75.6+29+3</f>
        <v>162.89999999999998</v>
      </c>
      <c r="I248" s="164" t="s">
        <v>1159</v>
      </c>
      <c r="J248" s="18">
        <v>1.4</v>
      </c>
      <c r="K248" s="30">
        <v>3</v>
      </c>
      <c r="L248" s="18">
        <v>4.4000000000000004</v>
      </c>
      <c r="M248" s="161"/>
      <c r="N248" s="161"/>
    </row>
    <row r="249" spans="3:14">
      <c r="C249" s="18">
        <f t="shared" si="3"/>
        <v>26</v>
      </c>
      <c r="D249" s="18" t="s">
        <v>71</v>
      </c>
      <c r="E249" s="164">
        <v>63</v>
      </c>
      <c r="F249" s="164" t="s">
        <v>83</v>
      </c>
      <c r="G249" s="164" t="s">
        <v>223</v>
      </c>
      <c r="H249" s="55">
        <v>74.3</v>
      </c>
      <c r="I249" s="164" t="s">
        <v>1159</v>
      </c>
      <c r="J249" s="18">
        <v>1.4</v>
      </c>
      <c r="K249" s="30">
        <v>3</v>
      </c>
      <c r="L249" s="18">
        <v>4.4000000000000004</v>
      </c>
      <c r="M249" s="161"/>
      <c r="N249" s="161"/>
    </row>
    <row r="250" spans="3:14">
      <c r="C250" s="18">
        <f t="shared" si="3"/>
        <v>27</v>
      </c>
      <c r="D250" s="18" t="s">
        <v>71</v>
      </c>
      <c r="E250" s="164">
        <v>63</v>
      </c>
      <c r="F250" s="164" t="s">
        <v>223</v>
      </c>
      <c r="G250" s="164" t="s">
        <v>171</v>
      </c>
      <c r="H250" s="55">
        <v>49.1</v>
      </c>
      <c r="I250" s="164" t="s">
        <v>1159</v>
      </c>
      <c r="J250" s="18">
        <v>1.4</v>
      </c>
      <c r="K250" s="30">
        <v>3</v>
      </c>
      <c r="L250" s="18">
        <v>4.4000000000000004</v>
      </c>
      <c r="M250" s="161"/>
      <c r="N250" s="161"/>
    </row>
    <row r="251" spans="3:14">
      <c r="C251" s="18">
        <f t="shared" si="3"/>
        <v>28</v>
      </c>
      <c r="D251" s="18" t="s">
        <v>71</v>
      </c>
      <c r="E251" s="164">
        <v>63</v>
      </c>
      <c r="F251" s="164" t="s">
        <v>223</v>
      </c>
      <c r="G251" s="164" t="s">
        <v>171</v>
      </c>
      <c r="H251" s="55">
        <v>36.700000000000003</v>
      </c>
      <c r="I251" s="164" t="s">
        <v>1159</v>
      </c>
      <c r="J251" s="18">
        <v>1.4</v>
      </c>
      <c r="K251" s="30">
        <v>3</v>
      </c>
      <c r="L251" s="18">
        <v>4.4000000000000004</v>
      </c>
      <c r="M251" s="161"/>
      <c r="N251" s="161"/>
    </row>
    <row r="252" spans="3:14">
      <c r="C252" s="18">
        <f t="shared" si="3"/>
        <v>29</v>
      </c>
      <c r="D252" s="18" t="s">
        <v>71</v>
      </c>
      <c r="E252" s="164">
        <v>63</v>
      </c>
      <c r="F252" s="164" t="s">
        <v>223</v>
      </c>
      <c r="G252" s="164" t="s">
        <v>175</v>
      </c>
      <c r="H252" s="55">
        <f>49.8+63+4.2</f>
        <v>117</v>
      </c>
      <c r="I252" s="164" t="s">
        <v>1159</v>
      </c>
      <c r="J252" s="18">
        <v>1.4</v>
      </c>
      <c r="K252" s="30">
        <v>3</v>
      </c>
      <c r="L252" s="18">
        <v>4.4000000000000004</v>
      </c>
      <c r="M252" s="161"/>
      <c r="N252" s="161"/>
    </row>
    <row r="253" spans="3:14">
      <c r="C253" s="18">
        <f t="shared" si="3"/>
        <v>30</v>
      </c>
      <c r="D253" s="18" t="s">
        <v>71</v>
      </c>
      <c r="E253" s="164">
        <v>63</v>
      </c>
      <c r="F253" s="164" t="s">
        <v>175</v>
      </c>
      <c r="G253" s="164" t="s">
        <v>769</v>
      </c>
      <c r="H253" s="55">
        <v>98.7</v>
      </c>
      <c r="I253" s="164" t="s">
        <v>1159</v>
      </c>
      <c r="J253" s="18">
        <v>1.4</v>
      </c>
      <c r="K253" s="30">
        <v>3</v>
      </c>
      <c r="L253" s="18">
        <v>4.4000000000000004</v>
      </c>
      <c r="M253" s="161"/>
      <c r="N253" s="161"/>
    </row>
    <row r="254" spans="3:14">
      <c r="C254" s="18">
        <f t="shared" si="3"/>
        <v>31</v>
      </c>
      <c r="D254" s="18" t="s">
        <v>71</v>
      </c>
      <c r="E254" s="164">
        <v>63</v>
      </c>
      <c r="F254" s="164" t="s">
        <v>175</v>
      </c>
      <c r="G254" s="164" t="s">
        <v>479</v>
      </c>
      <c r="H254" s="55">
        <f>43.2+4+58</f>
        <v>105.2</v>
      </c>
      <c r="I254" s="164" t="s">
        <v>1159</v>
      </c>
      <c r="J254" s="18">
        <v>1.4</v>
      </c>
      <c r="K254" s="30">
        <v>3</v>
      </c>
      <c r="L254" s="18">
        <v>4.4000000000000004</v>
      </c>
      <c r="M254" s="161"/>
      <c r="N254" s="161"/>
    </row>
    <row r="255" spans="3:14">
      <c r="C255" s="18">
        <f t="shared" si="3"/>
        <v>32</v>
      </c>
      <c r="D255" s="18" t="s">
        <v>71</v>
      </c>
      <c r="E255" s="164">
        <v>75</v>
      </c>
      <c r="F255" s="164" t="s">
        <v>397</v>
      </c>
      <c r="G255" s="164" t="s">
        <v>1232</v>
      </c>
      <c r="H255" s="55">
        <v>3.7</v>
      </c>
      <c r="I255" s="164" t="s">
        <v>1159</v>
      </c>
      <c r="J255" s="18">
        <v>1.4</v>
      </c>
      <c r="K255" s="30">
        <v>3</v>
      </c>
      <c r="L255" s="18">
        <v>4.4000000000000004</v>
      </c>
      <c r="M255" s="161"/>
      <c r="N255" s="161"/>
    </row>
    <row r="256" spans="3:14">
      <c r="C256" s="18">
        <f t="shared" si="3"/>
        <v>33</v>
      </c>
      <c r="D256" s="18" t="s">
        <v>71</v>
      </c>
      <c r="E256" s="164">
        <v>75</v>
      </c>
      <c r="F256" s="164" t="s">
        <v>1232</v>
      </c>
      <c r="G256" s="164" t="s">
        <v>478</v>
      </c>
      <c r="H256" s="55">
        <v>81.8</v>
      </c>
      <c r="I256" s="164" t="s">
        <v>1159</v>
      </c>
      <c r="J256" s="18">
        <v>1.4</v>
      </c>
      <c r="K256" s="30">
        <v>3</v>
      </c>
      <c r="L256" s="18">
        <v>4.4000000000000004</v>
      </c>
      <c r="M256" s="161"/>
      <c r="N256" s="161"/>
    </row>
    <row r="257" spans="3:14">
      <c r="C257" s="18">
        <f t="shared" si="3"/>
        <v>34</v>
      </c>
      <c r="D257" s="18" t="s">
        <v>71</v>
      </c>
      <c r="E257" s="164">
        <v>75</v>
      </c>
      <c r="F257" s="164" t="s">
        <v>1232</v>
      </c>
      <c r="G257" s="164" t="s">
        <v>478</v>
      </c>
      <c r="H257" s="55">
        <v>6.1</v>
      </c>
      <c r="I257" s="164" t="s">
        <v>1159</v>
      </c>
      <c r="J257" s="18">
        <v>1.4</v>
      </c>
      <c r="K257" s="30">
        <v>3</v>
      </c>
      <c r="L257" s="18">
        <v>4.4000000000000004</v>
      </c>
      <c r="M257" s="161"/>
      <c r="N257" s="161"/>
    </row>
    <row r="258" spans="3:14">
      <c r="C258" s="18">
        <f t="shared" si="3"/>
        <v>35</v>
      </c>
      <c r="D258" s="18" t="s">
        <v>71</v>
      </c>
      <c r="E258" s="164">
        <v>75</v>
      </c>
      <c r="F258" s="164" t="s">
        <v>478</v>
      </c>
      <c r="G258" s="164" t="s">
        <v>216</v>
      </c>
      <c r="H258" s="55">
        <v>78.5</v>
      </c>
      <c r="I258" s="164" t="s">
        <v>1159</v>
      </c>
      <c r="J258" s="18">
        <v>1.4</v>
      </c>
      <c r="K258" s="30">
        <v>3</v>
      </c>
      <c r="L258" s="18">
        <v>4.4000000000000004</v>
      </c>
      <c r="M258" s="161"/>
      <c r="N258" s="161"/>
    </row>
    <row r="259" spans="3:14">
      <c r="C259" s="18">
        <f t="shared" si="3"/>
        <v>36</v>
      </c>
      <c r="D259" s="18" t="s">
        <v>71</v>
      </c>
      <c r="E259" s="164">
        <v>75</v>
      </c>
      <c r="F259" s="164" t="s">
        <v>216</v>
      </c>
      <c r="G259" s="164" t="s">
        <v>314</v>
      </c>
      <c r="H259" s="55">
        <v>11.4</v>
      </c>
      <c r="I259" s="164" t="s">
        <v>1159</v>
      </c>
      <c r="J259" s="18">
        <v>1.4</v>
      </c>
      <c r="K259" s="30">
        <v>3</v>
      </c>
      <c r="L259" s="18">
        <v>4.4000000000000004</v>
      </c>
      <c r="M259" s="161"/>
      <c r="N259" s="161"/>
    </row>
    <row r="260" spans="3:14">
      <c r="C260" s="18">
        <f t="shared" si="3"/>
        <v>37</v>
      </c>
      <c r="D260" s="18" t="s">
        <v>71</v>
      </c>
      <c r="E260" s="164">
        <v>75</v>
      </c>
      <c r="F260" s="164" t="s">
        <v>314</v>
      </c>
      <c r="G260" s="164" t="s">
        <v>1086</v>
      </c>
      <c r="H260" s="55">
        <v>94.6</v>
      </c>
      <c r="I260" s="164" t="s">
        <v>1159</v>
      </c>
      <c r="J260" s="18">
        <v>1.4</v>
      </c>
      <c r="K260" s="30">
        <v>3</v>
      </c>
      <c r="L260" s="18">
        <v>4.4000000000000004</v>
      </c>
      <c r="M260" s="161"/>
      <c r="N260" s="161"/>
    </row>
    <row r="261" spans="3:14">
      <c r="C261" s="18">
        <f t="shared" si="3"/>
        <v>38</v>
      </c>
      <c r="D261" s="18" t="s">
        <v>71</v>
      </c>
      <c r="E261" s="164">
        <v>75</v>
      </c>
      <c r="F261" s="164" t="s">
        <v>1086</v>
      </c>
      <c r="G261" s="164" t="s">
        <v>183</v>
      </c>
      <c r="H261" s="55">
        <f>24.1+3.8</f>
        <v>27.900000000000002</v>
      </c>
      <c r="I261" s="164" t="s">
        <v>1159</v>
      </c>
      <c r="J261" s="18">
        <v>1.4</v>
      </c>
      <c r="K261" s="30">
        <v>3</v>
      </c>
      <c r="L261" s="18">
        <v>4.4000000000000004</v>
      </c>
      <c r="M261" s="161"/>
      <c r="N261" s="161"/>
    </row>
    <row r="262" spans="3:14">
      <c r="C262" s="18">
        <f t="shared" si="3"/>
        <v>39</v>
      </c>
      <c r="D262" s="18" t="s">
        <v>71</v>
      </c>
      <c r="E262" s="164">
        <v>75</v>
      </c>
      <c r="F262" s="164" t="s">
        <v>429</v>
      </c>
      <c r="G262" s="164" t="s">
        <v>409</v>
      </c>
      <c r="H262" s="55">
        <v>55.1</v>
      </c>
      <c r="I262" s="164" t="s">
        <v>1159</v>
      </c>
      <c r="J262" s="18">
        <v>1.4</v>
      </c>
      <c r="K262" s="30">
        <v>3</v>
      </c>
      <c r="L262" s="18">
        <v>4.4000000000000004</v>
      </c>
      <c r="M262" s="161"/>
      <c r="N262" s="161"/>
    </row>
    <row r="263" spans="3:14">
      <c r="C263" s="18">
        <f t="shared" si="3"/>
        <v>40</v>
      </c>
      <c r="D263" s="18" t="s">
        <v>71</v>
      </c>
      <c r="E263" s="164">
        <v>75</v>
      </c>
      <c r="F263" s="164" t="s">
        <v>127</v>
      </c>
      <c r="G263" s="164" t="s">
        <v>399</v>
      </c>
      <c r="H263" s="55">
        <v>14</v>
      </c>
      <c r="I263" s="164" t="s">
        <v>1159</v>
      </c>
      <c r="J263" s="18">
        <v>1.4</v>
      </c>
      <c r="K263" s="30">
        <v>3</v>
      </c>
      <c r="L263" s="18">
        <v>4.4000000000000004</v>
      </c>
      <c r="M263" s="161"/>
      <c r="N263" s="161"/>
    </row>
    <row r="264" spans="3:14">
      <c r="C264" s="18">
        <f t="shared" si="3"/>
        <v>41</v>
      </c>
      <c r="D264" s="18" t="s">
        <v>71</v>
      </c>
      <c r="E264" s="164">
        <v>75</v>
      </c>
      <c r="F264" s="164" t="s">
        <v>399</v>
      </c>
      <c r="G264" s="164" t="s">
        <v>141</v>
      </c>
      <c r="H264" s="55">
        <v>81.400000000000006</v>
      </c>
      <c r="I264" s="164" t="s">
        <v>1159</v>
      </c>
      <c r="J264" s="18">
        <v>1.4</v>
      </c>
      <c r="K264" s="30">
        <v>3</v>
      </c>
      <c r="L264" s="18">
        <v>4.4000000000000004</v>
      </c>
      <c r="M264" s="161"/>
      <c r="N264" s="161"/>
    </row>
    <row r="265" spans="3:14">
      <c r="C265" s="18">
        <f t="shared" si="3"/>
        <v>42</v>
      </c>
      <c r="D265" s="18" t="s">
        <v>71</v>
      </c>
      <c r="E265" s="164">
        <v>75</v>
      </c>
      <c r="F265" s="164" t="s">
        <v>135</v>
      </c>
      <c r="G265" s="164" t="s">
        <v>244</v>
      </c>
      <c r="H265" s="55">
        <v>86.8</v>
      </c>
      <c r="I265" s="164" t="s">
        <v>1159</v>
      </c>
      <c r="J265" s="18">
        <v>1.4</v>
      </c>
      <c r="K265" s="30">
        <v>3</v>
      </c>
      <c r="L265" s="18">
        <v>4.4000000000000004</v>
      </c>
      <c r="M265" s="161"/>
      <c r="N265" s="161"/>
    </row>
    <row r="266" spans="3:14">
      <c r="C266" s="18">
        <f t="shared" si="3"/>
        <v>43</v>
      </c>
      <c r="D266" s="18" t="s">
        <v>71</v>
      </c>
      <c r="E266" s="164">
        <v>75</v>
      </c>
      <c r="F266" s="164" t="s">
        <v>533</v>
      </c>
      <c r="G266" s="164" t="s">
        <v>520</v>
      </c>
      <c r="H266" s="55">
        <v>43.3</v>
      </c>
      <c r="I266" s="164" t="s">
        <v>1159</v>
      </c>
      <c r="J266" s="18">
        <v>1.4</v>
      </c>
      <c r="K266" s="30">
        <v>3</v>
      </c>
      <c r="L266" s="18">
        <v>4.4000000000000004</v>
      </c>
      <c r="M266" s="161"/>
      <c r="N266" s="161"/>
    </row>
    <row r="267" spans="3:14">
      <c r="C267" s="18">
        <f t="shared" si="3"/>
        <v>44</v>
      </c>
      <c r="D267" s="18" t="s">
        <v>71</v>
      </c>
      <c r="E267" s="164">
        <v>75</v>
      </c>
      <c r="F267" s="164" t="s">
        <v>779</v>
      </c>
      <c r="G267" s="164" t="s">
        <v>233</v>
      </c>
      <c r="H267" s="55">
        <v>69.099999999999994</v>
      </c>
      <c r="I267" s="164" t="s">
        <v>1159</v>
      </c>
      <c r="J267" s="18">
        <v>1.4</v>
      </c>
      <c r="K267" s="30">
        <v>3</v>
      </c>
      <c r="L267" s="18">
        <v>4.4000000000000004</v>
      </c>
      <c r="M267" s="161"/>
      <c r="N267" s="161"/>
    </row>
    <row r="268" spans="3:14">
      <c r="C268" s="18">
        <f t="shared" si="3"/>
        <v>45</v>
      </c>
      <c r="D268" s="18" t="s">
        <v>71</v>
      </c>
      <c r="E268" s="164">
        <v>75</v>
      </c>
      <c r="F268" s="164" t="s">
        <v>203</v>
      </c>
      <c r="G268" s="164" t="s">
        <v>520</v>
      </c>
      <c r="H268" s="55">
        <v>31</v>
      </c>
      <c r="I268" s="164" t="s">
        <v>1159</v>
      </c>
      <c r="J268" s="18">
        <v>1.4</v>
      </c>
      <c r="K268" s="30">
        <v>3</v>
      </c>
      <c r="L268" s="18">
        <v>4.4000000000000004</v>
      </c>
      <c r="M268" s="161"/>
      <c r="N268" s="161"/>
    </row>
    <row r="269" spans="3:14">
      <c r="C269" s="18">
        <f t="shared" si="3"/>
        <v>46</v>
      </c>
      <c r="D269" s="18" t="s">
        <v>71</v>
      </c>
      <c r="E269" s="164">
        <v>75</v>
      </c>
      <c r="F269" s="164" t="s">
        <v>479</v>
      </c>
      <c r="G269" s="164" t="s">
        <v>294</v>
      </c>
      <c r="H269" s="55">
        <v>6.6</v>
      </c>
      <c r="I269" s="164" t="s">
        <v>1159</v>
      </c>
      <c r="J269" s="18">
        <v>1.4</v>
      </c>
      <c r="K269" s="30">
        <v>3</v>
      </c>
      <c r="L269" s="18">
        <v>4.4000000000000004</v>
      </c>
      <c r="M269" s="161"/>
      <c r="N269" s="161"/>
    </row>
    <row r="270" spans="3:14">
      <c r="C270" s="18">
        <f t="shared" si="3"/>
        <v>47</v>
      </c>
      <c r="D270" s="18" t="s">
        <v>71</v>
      </c>
      <c r="E270" s="164">
        <v>75</v>
      </c>
      <c r="F270" s="164" t="s">
        <v>171</v>
      </c>
      <c r="G270" s="164" t="s">
        <v>727</v>
      </c>
      <c r="H270" s="55">
        <v>104</v>
      </c>
      <c r="I270" s="164" t="s">
        <v>1159</v>
      </c>
      <c r="J270" s="18">
        <v>1.4</v>
      </c>
      <c r="K270" s="30">
        <v>3</v>
      </c>
      <c r="L270" s="18">
        <v>4.4000000000000004</v>
      </c>
      <c r="M270" s="161"/>
      <c r="N270" s="161"/>
    </row>
    <row r="271" spans="3:14">
      <c r="C271" s="18">
        <f t="shared" si="3"/>
        <v>48</v>
      </c>
      <c r="D271" s="18" t="s">
        <v>71</v>
      </c>
      <c r="E271" s="164">
        <v>75</v>
      </c>
      <c r="F271" s="164" t="s">
        <v>727</v>
      </c>
      <c r="G271" s="164" t="s">
        <v>736</v>
      </c>
      <c r="H271" s="55">
        <v>23.6</v>
      </c>
      <c r="I271" s="164" t="s">
        <v>1159</v>
      </c>
      <c r="J271" s="18">
        <v>1.4</v>
      </c>
      <c r="K271" s="30">
        <v>3</v>
      </c>
      <c r="L271" s="18">
        <v>4.4000000000000004</v>
      </c>
      <c r="M271" s="161"/>
      <c r="N271" s="161"/>
    </row>
    <row r="272" spans="3:14">
      <c r="C272" s="18">
        <f t="shared" si="3"/>
        <v>49</v>
      </c>
      <c r="D272" s="18" t="s">
        <v>71</v>
      </c>
      <c r="E272" s="164">
        <v>75</v>
      </c>
      <c r="F272" s="164" t="s">
        <v>479</v>
      </c>
      <c r="G272" s="164" t="s">
        <v>294</v>
      </c>
      <c r="H272" s="55">
        <f>141.1+6.1</f>
        <v>147.19999999999999</v>
      </c>
      <c r="I272" s="164" t="s">
        <v>1159</v>
      </c>
      <c r="J272" s="18">
        <v>1.4</v>
      </c>
      <c r="K272" s="30">
        <v>3</v>
      </c>
      <c r="L272" s="18">
        <v>4.4000000000000004</v>
      </c>
      <c r="M272" s="161"/>
      <c r="N272" s="161"/>
    </row>
    <row r="273" spans="3:14">
      <c r="C273" s="18">
        <f t="shared" si="3"/>
        <v>50</v>
      </c>
      <c r="D273" s="18" t="s">
        <v>71</v>
      </c>
      <c r="E273" s="164">
        <v>75</v>
      </c>
      <c r="F273" s="164" t="s">
        <v>1247</v>
      </c>
      <c r="G273" s="164" t="s">
        <v>1248</v>
      </c>
      <c r="H273" s="55">
        <v>21.5</v>
      </c>
      <c r="I273" s="164" t="s">
        <v>1159</v>
      </c>
      <c r="J273" s="18">
        <v>1.4</v>
      </c>
      <c r="K273" s="30">
        <v>3</v>
      </c>
      <c r="L273" s="18">
        <v>4.4000000000000004</v>
      </c>
      <c r="M273" s="161"/>
      <c r="N273" s="161"/>
    </row>
    <row r="274" spans="3:14">
      <c r="C274" s="18"/>
      <c r="D274" s="18"/>
      <c r="E274" s="19"/>
      <c r="F274" s="19"/>
      <c r="G274" s="19"/>
      <c r="H274" s="164"/>
      <c r="I274" s="164"/>
      <c r="J274" s="18"/>
      <c r="K274" s="30"/>
      <c r="L274" s="18"/>
      <c r="M274" s="161"/>
      <c r="N274" s="161"/>
    </row>
    <row r="275" spans="3:14">
      <c r="C275" s="374"/>
      <c r="D275" s="374"/>
      <c r="E275" s="374"/>
      <c r="F275" s="374"/>
      <c r="G275" s="374"/>
      <c r="H275" s="374"/>
      <c r="I275" s="374"/>
      <c r="J275" s="374"/>
      <c r="K275" s="374"/>
      <c r="L275" s="374"/>
      <c r="M275" s="374"/>
      <c r="N275" s="374"/>
    </row>
    <row r="276" spans="3:14">
      <c r="C276" s="324"/>
      <c r="D276" s="324"/>
      <c r="E276" s="325" t="s">
        <v>86</v>
      </c>
      <c r="F276" s="325"/>
      <c r="G276" s="325"/>
      <c r="H276" s="325"/>
      <c r="I276" s="325" t="s">
        <v>87</v>
      </c>
      <c r="J276" s="325"/>
      <c r="K276" s="325"/>
      <c r="L276" s="325" t="s">
        <v>39</v>
      </c>
      <c r="M276" s="325"/>
      <c r="N276" s="325"/>
    </row>
    <row r="277" spans="3:14">
      <c r="C277" s="295" t="s">
        <v>40</v>
      </c>
      <c r="D277" s="295"/>
      <c r="E277" s="317"/>
      <c r="F277" s="317"/>
      <c r="G277" s="317"/>
      <c r="H277" s="317"/>
      <c r="I277" s="317"/>
      <c r="J277" s="317"/>
      <c r="K277" s="317"/>
      <c r="L277" s="317"/>
      <c r="M277" s="317"/>
      <c r="N277" s="317"/>
    </row>
    <row r="278" spans="3:14">
      <c r="C278" s="295" t="s">
        <v>41</v>
      </c>
      <c r="D278" s="295"/>
      <c r="E278" s="317"/>
      <c r="F278" s="317"/>
      <c r="G278" s="317"/>
      <c r="H278" s="317"/>
      <c r="I278" s="317"/>
      <c r="J278" s="317"/>
      <c r="K278" s="317"/>
      <c r="L278" s="317"/>
      <c r="M278" s="317"/>
      <c r="N278" s="317"/>
    </row>
    <row r="279" spans="3:14">
      <c r="C279" s="295" t="s">
        <v>42</v>
      </c>
      <c r="D279" s="295"/>
      <c r="E279" s="317"/>
      <c r="F279" s="317"/>
      <c r="G279" s="317"/>
      <c r="H279" s="317"/>
      <c r="I279" s="317"/>
      <c r="J279" s="317"/>
      <c r="K279" s="317"/>
      <c r="L279" s="317"/>
      <c r="M279" s="317"/>
      <c r="N279" s="317"/>
    </row>
    <row r="280" spans="3:14">
      <c r="C280" s="295" t="s">
        <v>43</v>
      </c>
      <c r="D280" s="295"/>
      <c r="E280" s="315"/>
      <c r="F280" s="316"/>
      <c r="G280" s="316"/>
      <c r="H280" s="316"/>
      <c r="I280" s="317"/>
      <c r="J280" s="317"/>
      <c r="K280" s="317"/>
      <c r="L280" s="317"/>
      <c r="M280" s="317"/>
      <c r="N280" s="317"/>
    </row>
    <row r="281" spans="3:14" ht="15.75" thickBot="1"/>
    <row r="282" spans="3:14">
      <c r="C282" s="206"/>
      <c r="D282" s="211" t="s">
        <v>44</v>
      </c>
      <c r="E282" s="212"/>
      <c r="F282" s="212"/>
      <c r="G282" s="212"/>
      <c r="H282" s="212"/>
      <c r="I282" s="212"/>
      <c r="J282" s="212"/>
      <c r="K282" s="212"/>
      <c r="L282" s="20"/>
      <c r="M282" s="20"/>
      <c r="N282" s="21"/>
    </row>
    <row r="283" spans="3:14">
      <c r="C283" s="207"/>
      <c r="D283" s="214"/>
      <c r="E283" s="215"/>
      <c r="F283" s="215"/>
      <c r="G283" s="215"/>
      <c r="H283" s="215"/>
      <c r="I283" s="215"/>
      <c r="J283" s="215"/>
      <c r="K283" s="215"/>
      <c r="N283" s="22"/>
    </row>
    <row r="284" spans="3:14">
      <c r="C284" s="207"/>
      <c r="D284" s="214"/>
      <c r="E284" s="215"/>
      <c r="F284" s="215"/>
      <c r="G284" s="215"/>
      <c r="H284" s="215"/>
      <c r="I284" s="215"/>
      <c r="J284" s="215"/>
      <c r="K284" s="215"/>
      <c r="N284" s="22"/>
    </row>
    <row r="285" spans="3:14">
      <c r="C285" s="207"/>
      <c r="D285" s="289"/>
      <c r="E285" s="290"/>
      <c r="F285" s="290"/>
      <c r="G285" s="290"/>
      <c r="H285" s="290"/>
      <c r="I285" s="290"/>
      <c r="J285" s="290"/>
      <c r="K285" s="290"/>
      <c r="N285" s="22"/>
    </row>
    <row r="286" spans="3:14" ht="16.5">
      <c r="C286" s="223" t="s">
        <v>45</v>
      </c>
      <c r="D286" s="224"/>
      <c r="E286" s="159" t="s">
        <v>46</v>
      </c>
      <c r="F286" s="160"/>
      <c r="G286" s="160"/>
      <c r="H286" s="160"/>
      <c r="I286" s="160"/>
      <c r="J286" s="160"/>
      <c r="K286" s="160"/>
      <c r="L286" s="160"/>
      <c r="M286" s="160"/>
      <c r="N286" s="23"/>
    </row>
    <row r="287" spans="3:14" ht="16.5">
      <c r="C287" s="223" t="s">
        <v>48</v>
      </c>
      <c r="D287" s="224"/>
      <c r="E287" s="159" t="s">
        <v>49</v>
      </c>
      <c r="F287" s="160"/>
      <c r="G287" s="160"/>
      <c r="H287" s="160"/>
      <c r="I287" s="160"/>
      <c r="J287" s="160"/>
      <c r="K287" s="160"/>
      <c r="L287" s="160"/>
      <c r="M287" s="160"/>
      <c r="N287" s="23"/>
    </row>
    <row r="288" spans="3:14" ht="16.5">
      <c r="C288" s="225" t="s">
        <v>50</v>
      </c>
      <c r="D288" s="226"/>
      <c r="E288" s="159" t="s">
        <v>51</v>
      </c>
      <c r="F288" s="160"/>
      <c r="G288" s="160"/>
      <c r="H288" s="160"/>
      <c r="I288" s="160"/>
      <c r="J288" s="160"/>
      <c r="K288" s="160"/>
      <c r="L288" s="160"/>
      <c r="M288" s="160"/>
      <c r="N288" s="23"/>
    </row>
    <row r="289" spans="3:14" ht="16.5">
      <c r="C289" s="223" t="s">
        <v>52</v>
      </c>
      <c r="D289" s="224"/>
      <c r="E289" s="159" t="s">
        <v>53</v>
      </c>
      <c r="F289" s="160"/>
      <c r="G289" s="160"/>
      <c r="H289" s="160"/>
      <c r="I289" s="160"/>
      <c r="J289" s="160"/>
      <c r="K289" s="160"/>
      <c r="L289" s="160"/>
      <c r="M289" s="160"/>
      <c r="N289" s="23"/>
    </row>
    <row r="290" spans="3:14" ht="15.75">
      <c r="C290" s="227" t="s">
        <v>1214</v>
      </c>
      <c r="D290" s="228"/>
      <c r="E290" s="228"/>
      <c r="F290" s="228"/>
      <c r="G290" s="228"/>
      <c r="H290" s="228"/>
      <c r="I290" s="228"/>
      <c r="J290" s="228"/>
      <c r="K290" s="228"/>
      <c r="L290" s="228"/>
      <c r="M290" s="228"/>
      <c r="N290" s="229"/>
    </row>
    <row r="291" spans="3:14" ht="15.75">
      <c r="C291" s="11" t="s">
        <v>55</v>
      </c>
      <c r="E291" s="12"/>
      <c r="F291" s="12"/>
      <c r="G291" s="12"/>
      <c r="H291" s="12"/>
      <c r="I291" s="24" t="s">
        <v>56</v>
      </c>
      <c r="J291" s="25"/>
      <c r="K291" s="12"/>
      <c r="L291" s="12"/>
      <c r="M291" s="12"/>
      <c r="N291" s="26"/>
    </row>
    <row r="292" spans="3:14">
      <c r="C292" s="217"/>
      <c r="D292" s="218"/>
      <c r="E292" s="218"/>
      <c r="F292" s="218"/>
      <c r="G292" s="218"/>
      <c r="H292" s="218"/>
      <c r="I292" s="218"/>
      <c r="J292" s="218"/>
      <c r="K292" s="218"/>
      <c r="L292" s="218"/>
      <c r="M292" s="218"/>
      <c r="N292" s="219"/>
    </row>
    <row r="293" spans="3:14" ht="15.75">
      <c r="C293" s="162" t="s">
        <v>103</v>
      </c>
      <c r="D293" s="355"/>
      <c r="E293" s="356"/>
      <c r="F293" s="356"/>
      <c r="G293" s="356"/>
      <c r="H293" s="357"/>
      <c r="I293" s="368" t="s">
        <v>542</v>
      </c>
      <c r="J293" s="369"/>
      <c r="K293" s="369"/>
      <c r="L293" s="369"/>
      <c r="M293" s="369"/>
      <c r="N293" s="370"/>
    </row>
    <row r="294" spans="3:14">
      <c r="C294" s="329" t="s">
        <v>59</v>
      </c>
      <c r="D294" s="209" t="s">
        <v>60</v>
      </c>
      <c r="E294" s="209" t="s">
        <v>659</v>
      </c>
      <c r="F294" s="209" t="s">
        <v>62</v>
      </c>
      <c r="G294" s="209" t="s">
        <v>63</v>
      </c>
      <c r="H294" s="209" t="s">
        <v>64</v>
      </c>
      <c r="I294" s="209" t="s">
        <v>65</v>
      </c>
      <c r="J294" s="342" t="s">
        <v>66</v>
      </c>
      <c r="K294" s="343"/>
      <c r="L294" s="344"/>
      <c r="M294" s="209" t="s">
        <v>30</v>
      </c>
      <c r="N294" s="328" t="s">
        <v>67</v>
      </c>
    </row>
    <row r="295" spans="3:14" ht="60">
      <c r="C295" s="359"/>
      <c r="D295" s="292"/>
      <c r="E295" s="292"/>
      <c r="F295" s="292"/>
      <c r="G295" s="292"/>
      <c r="H295" s="292"/>
      <c r="I295" s="292"/>
      <c r="J295" s="163" t="s">
        <v>68</v>
      </c>
      <c r="K295" s="28" t="s">
        <v>999</v>
      </c>
      <c r="L295" s="163" t="s">
        <v>70</v>
      </c>
      <c r="M295" s="292"/>
      <c r="N295" s="360"/>
    </row>
    <row r="296" spans="3:14">
      <c r="C296" s="18">
        <v>1</v>
      </c>
      <c r="D296" s="18" t="s">
        <v>71</v>
      </c>
      <c r="E296" s="164">
        <v>90</v>
      </c>
      <c r="F296" s="164" t="s">
        <v>310</v>
      </c>
      <c r="G296" s="164" t="s">
        <v>171</v>
      </c>
      <c r="H296" s="55">
        <v>134.6</v>
      </c>
      <c r="I296" s="164" t="s">
        <v>276</v>
      </c>
      <c r="J296" s="18">
        <v>1.9</v>
      </c>
      <c r="K296" s="30">
        <v>3.4</v>
      </c>
      <c r="L296" s="18">
        <v>5.3</v>
      </c>
      <c r="M296" s="161"/>
      <c r="N296" s="161"/>
    </row>
    <row r="297" spans="3:14">
      <c r="C297" s="18">
        <f t="shared" ref="C297:C339" si="4">1+C296</f>
        <v>2</v>
      </c>
      <c r="D297" s="18" t="s">
        <v>71</v>
      </c>
      <c r="E297" s="164">
        <v>110</v>
      </c>
      <c r="F297" s="164" t="s">
        <v>171</v>
      </c>
      <c r="G297" s="164" t="s">
        <v>123</v>
      </c>
      <c r="H297" s="55">
        <v>132.80000000000001</v>
      </c>
      <c r="I297" s="164" t="s">
        <v>276</v>
      </c>
      <c r="J297" s="18">
        <v>1.9</v>
      </c>
      <c r="K297" s="30">
        <v>3.4</v>
      </c>
      <c r="L297" s="18">
        <v>5.3</v>
      </c>
      <c r="M297" s="161"/>
      <c r="N297" s="161"/>
    </row>
    <row r="298" spans="3:14">
      <c r="C298" s="18">
        <f t="shared" si="4"/>
        <v>3</v>
      </c>
      <c r="D298" s="18" t="s">
        <v>71</v>
      </c>
      <c r="E298" s="164">
        <v>110</v>
      </c>
      <c r="F298" s="164" t="s">
        <v>123</v>
      </c>
      <c r="G298" s="164" t="s">
        <v>429</v>
      </c>
      <c r="H298" s="55">
        <v>52.8</v>
      </c>
      <c r="I298" s="164" t="s">
        <v>276</v>
      </c>
      <c r="J298" s="18">
        <v>1.9</v>
      </c>
      <c r="K298" s="30">
        <v>3.4</v>
      </c>
      <c r="L298" s="18">
        <v>5.3</v>
      </c>
      <c r="M298" s="161"/>
      <c r="N298" s="161"/>
    </row>
    <row r="299" spans="3:14">
      <c r="C299" s="18">
        <f t="shared" si="4"/>
        <v>4</v>
      </c>
      <c r="D299" s="18" t="s">
        <v>71</v>
      </c>
      <c r="E299" s="164">
        <v>110</v>
      </c>
      <c r="F299" s="164" t="s">
        <v>242</v>
      </c>
      <c r="G299" s="164" t="s">
        <v>708</v>
      </c>
      <c r="H299" s="55">
        <v>17.600000000000001</v>
      </c>
      <c r="I299" s="164" t="s">
        <v>276</v>
      </c>
      <c r="J299" s="18">
        <v>1.9</v>
      </c>
      <c r="K299" s="30">
        <v>3.4</v>
      </c>
      <c r="L299" s="18">
        <v>5.3</v>
      </c>
      <c r="M299" s="161"/>
      <c r="N299" s="161"/>
    </row>
    <row r="300" spans="3:14">
      <c r="C300" s="18">
        <f t="shared" si="4"/>
        <v>5</v>
      </c>
      <c r="D300" s="18" t="s">
        <v>71</v>
      </c>
      <c r="E300" s="164">
        <v>110</v>
      </c>
      <c r="F300" s="164" t="s">
        <v>708</v>
      </c>
      <c r="G300" s="164" t="s">
        <v>445</v>
      </c>
      <c r="H300" s="55">
        <v>57.7</v>
      </c>
      <c r="I300" s="164" t="s">
        <v>276</v>
      </c>
      <c r="J300" s="18">
        <v>1.9</v>
      </c>
      <c r="K300" s="30">
        <v>3.4</v>
      </c>
      <c r="L300" s="18">
        <v>5.3</v>
      </c>
      <c r="M300" s="161"/>
      <c r="N300" s="161"/>
    </row>
    <row r="301" spans="3:14">
      <c r="C301" s="18">
        <f t="shared" si="4"/>
        <v>6</v>
      </c>
      <c r="D301" s="18" t="s">
        <v>71</v>
      </c>
      <c r="E301" s="164">
        <v>110</v>
      </c>
      <c r="F301" s="164" t="s">
        <v>445</v>
      </c>
      <c r="G301" s="164" t="s">
        <v>226</v>
      </c>
      <c r="H301" s="55">
        <v>39.200000000000003</v>
      </c>
      <c r="I301" s="164" t="s">
        <v>276</v>
      </c>
      <c r="J301" s="18">
        <v>1.9</v>
      </c>
      <c r="K301" s="30">
        <v>3.4</v>
      </c>
      <c r="L301" s="18">
        <v>5.3</v>
      </c>
      <c r="M301" s="161"/>
      <c r="N301" s="161"/>
    </row>
    <row r="302" spans="3:14">
      <c r="C302" s="18">
        <f t="shared" si="4"/>
        <v>7</v>
      </c>
      <c r="D302" s="18" t="s">
        <v>71</v>
      </c>
      <c r="E302" s="164">
        <v>110</v>
      </c>
      <c r="F302" s="164" t="s">
        <v>226</v>
      </c>
      <c r="G302" s="164" t="s">
        <v>127</v>
      </c>
      <c r="H302" s="55">
        <v>63.5</v>
      </c>
      <c r="I302" s="164" t="s">
        <v>276</v>
      </c>
      <c r="J302" s="18">
        <v>1.9</v>
      </c>
      <c r="K302" s="30">
        <v>3.4</v>
      </c>
      <c r="L302" s="18">
        <v>5.3</v>
      </c>
      <c r="M302" s="161"/>
      <c r="N302" s="161"/>
    </row>
    <row r="303" spans="3:14">
      <c r="C303" s="18">
        <f t="shared" si="4"/>
        <v>8</v>
      </c>
      <c r="D303" s="18" t="s">
        <v>71</v>
      </c>
      <c r="E303" s="164">
        <v>110</v>
      </c>
      <c r="F303" s="164" t="s">
        <v>226</v>
      </c>
      <c r="G303" s="164" t="s">
        <v>127</v>
      </c>
      <c r="H303" s="55">
        <v>3.5</v>
      </c>
      <c r="I303" s="164" t="s">
        <v>276</v>
      </c>
      <c r="J303" s="18">
        <v>1.9</v>
      </c>
      <c r="K303" s="30">
        <v>3.4</v>
      </c>
      <c r="L303" s="18">
        <v>5.3</v>
      </c>
      <c r="M303" s="161"/>
      <c r="N303" s="161"/>
    </row>
    <row r="304" spans="3:14">
      <c r="C304" s="18">
        <f t="shared" si="4"/>
        <v>9</v>
      </c>
      <c r="D304" s="18" t="s">
        <v>71</v>
      </c>
      <c r="E304" s="164">
        <v>110</v>
      </c>
      <c r="F304" s="164" t="s">
        <v>134</v>
      </c>
      <c r="G304" s="164" t="s">
        <v>504</v>
      </c>
      <c r="H304" s="55">
        <v>27.4</v>
      </c>
      <c r="I304" s="164" t="s">
        <v>276</v>
      </c>
      <c r="J304" s="18">
        <v>1.9</v>
      </c>
      <c r="K304" s="30">
        <v>3.4</v>
      </c>
      <c r="L304" s="18">
        <v>5.3</v>
      </c>
      <c r="M304" s="161"/>
      <c r="N304" s="161"/>
    </row>
    <row r="305" spans="3:14">
      <c r="C305" s="18">
        <f t="shared" si="4"/>
        <v>10</v>
      </c>
      <c r="D305" s="18" t="s">
        <v>71</v>
      </c>
      <c r="E305" s="164">
        <v>110</v>
      </c>
      <c r="F305" s="164" t="s">
        <v>294</v>
      </c>
      <c r="G305" s="164" t="s">
        <v>310</v>
      </c>
      <c r="H305" s="55">
        <v>175.3</v>
      </c>
      <c r="I305" s="164" t="s">
        <v>276</v>
      </c>
      <c r="J305" s="18">
        <v>1.9</v>
      </c>
      <c r="K305" s="30">
        <v>3.4</v>
      </c>
      <c r="L305" s="18">
        <v>5.3</v>
      </c>
      <c r="M305" s="161"/>
      <c r="N305" s="161"/>
    </row>
    <row r="306" spans="3:14">
      <c r="C306" s="18">
        <f t="shared" si="4"/>
        <v>11</v>
      </c>
      <c r="D306" s="18" t="s">
        <v>71</v>
      </c>
      <c r="E306" s="164">
        <v>110</v>
      </c>
      <c r="F306" s="164" t="s">
        <v>168</v>
      </c>
      <c r="G306" s="164" t="s">
        <v>294</v>
      </c>
      <c r="H306" s="55">
        <v>37.299999999999997</v>
      </c>
      <c r="I306" s="164" t="s">
        <v>276</v>
      </c>
      <c r="J306" s="18">
        <v>1.9</v>
      </c>
      <c r="K306" s="30">
        <v>3.4</v>
      </c>
      <c r="L306" s="18">
        <v>5.3</v>
      </c>
      <c r="M306" s="161"/>
      <c r="N306" s="161"/>
    </row>
    <row r="307" spans="3:14">
      <c r="C307" s="18">
        <f t="shared" si="4"/>
        <v>12</v>
      </c>
      <c r="D307" s="18" t="s">
        <v>71</v>
      </c>
      <c r="E307" s="164">
        <v>140</v>
      </c>
      <c r="F307" s="164" t="s">
        <v>429</v>
      </c>
      <c r="G307" s="164" t="s">
        <v>377</v>
      </c>
      <c r="H307" s="55">
        <f>326.8+25</f>
        <v>351.8</v>
      </c>
      <c r="I307" s="164" t="s">
        <v>276</v>
      </c>
      <c r="J307" s="18">
        <v>1.9</v>
      </c>
      <c r="K307" s="30">
        <v>3.4</v>
      </c>
      <c r="L307" s="18">
        <v>5.3</v>
      </c>
      <c r="M307" s="161"/>
      <c r="N307" s="161"/>
    </row>
    <row r="308" spans="3:14">
      <c r="C308" s="18">
        <f t="shared" si="4"/>
        <v>13</v>
      </c>
      <c r="D308" s="18" t="s">
        <v>71</v>
      </c>
      <c r="E308" s="164">
        <v>140</v>
      </c>
      <c r="F308" s="164" t="s">
        <v>429</v>
      </c>
      <c r="G308" s="164" t="s">
        <v>377</v>
      </c>
      <c r="H308" s="55">
        <v>3</v>
      </c>
      <c r="I308" s="164" t="s">
        <v>276</v>
      </c>
      <c r="J308" s="18">
        <v>1.9</v>
      </c>
      <c r="K308" s="30">
        <v>3.4</v>
      </c>
      <c r="L308" s="18">
        <v>5.3</v>
      </c>
      <c r="M308" s="161"/>
      <c r="N308" s="161"/>
    </row>
    <row r="309" spans="3:14">
      <c r="C309" s="18">
        <f t="shared" si="4"/>
        <v>14</v>
      </c>
      <c r="D309" s="18" t="s">
        <v>71</v>
      </c>
      <c r="E309" s="164">
        <v>140</v>
      </c>
      <c r="F309" s="164" t="s">
        <v>377</v>
      </c>
      <c r="G309" s="164" t="s">
        <v>381</v>
      </c>
      <c r="H309" s="55">
        <f>225.5+20</f>
        <v>245.5</v>
      </c>
      <c r="I309" s="164" t="s">
        <v>276</v>
      </c>
      <c r="J309" s="18">
        <v>1.9</v>
      </c>
      <c r="K309" s="30">
        <v>3.4</v>
      </c>
      <c r="L309" s="18">
        <v>5.3</v>
      </c>
      <c r="M309" s="161"/>
      <c r="N309" s="161"/>
    </row>
    <row r="310" spans="3:14">
      <c r="C310" s="18">
        <f t="shared" si="4"/>
        <v>15</v>
      </c>
      <c r="D310" s="18" t="s">
        <v>71</v>
      </c>
      <c r="E310" s="164">
        <v>140</v>
      </c>
      <c r="F310" s="164" t="s">
        <v>377</v>
      </c>
      <c r="G310" s="164" t="s">
        <v>381</v>
      </c>
      <c r="H310" s="55">
        <v>29.1</v>
      </c>
      <c r="I310" s="164" t="s">
        <v>276</v>
      </c>
      <c r="J310" s="18">
        <v>1.9</v>
      </c>
      <c r="K310" s="30">
        <v>3.4</v>
      </c>
      <c r="L310" s="18">
        <v>5.3</v>
      </c>
      <c r="M310" s="161"/>
      <c r="N310" s="161"/>
    </row>
    <row r="311" spans="3:14">
      <c r="C311" s="18">
        <f t="shared" si="4"/>
        <v>16</v>
      </c>
      <c r="D311" s="18" t="s">
        <v>71</v>
      </c>
      <c r="E311" s="164">
        <v>140</v>
      </c>
      <c r="F311" s="164" t="s">
        <v>377</v>
      </c>
      <c r="G311" s="164" t="s">
        <v>381</v>
      </c>
      <c r="H311" s="55">
        <f>57.6+5</f>
        <v>62.6</v>
      </c>
      <c r="I311" s="164" t="s">
        <v>276</v>
      </c>
      <c r="J311" s="18">
        <v>1.9</v>
      </c>
      <c r="K311" s="30">
        <v>3.4</v>
      </c>
      <c r="L311" s="18">
        <v>5.3</v>
      </c>
      <c r="M311" s="161"/>
      <c r="N311" s="161"/>
    </row>
    <row r="312" spans="3:14">
      <c r="C312" s="18">
        <f t="shared" si="4"/>
        <v>17</v>
      </c>
      <c r="D312" s="18" t="s">
        <v>71</v>
      </c>
      <c r="E312" s="164">
        <v>160</v>
      </c>
      <c r="F312" s="164" t="s">
        <v>381</v>
      </c>
      <c r="G312" s="164" t="s">
        <v>793</v>
      </c>
      <c r="H312" s="55">
        <v>8</v>
      </c>
      <c r="I312" s="164" t="s">
        <v>276</v>
      </c>
      <c r="J312" s="18">
        <v>1.9</v>
      </c>
      <c r="K312" s="30">
        <v>3.4</v>
      </c>
      <c r="L312" s="18">
        <v>5.3</v>
      </c>
      <c r="M312" s="161"/>
      <c r="N312" s="161"/>
    </row>
    <row r="313" spans="3:14">
      <c r="C313" s="18">
        <f t="shared" si="4"/>
        <v>18</v>
      </c>
      <c r="D313" s="18" t="s">
        <v>71</v>
      </c>
      <c r="E313" s="164">
        <v>160</v>
      </c>
      <c r="F313" s="164" t="s">
        <v>381</v>
      </c>
      <c r="G313" s="164" t="s">
        <v>793</v>
      </c>
      <c r="H313" s="55">
        <f>34.5-3</f>
        <v>31.5</v>
      </c>
      <c r="I313" s="164" t="s">
        <v>276</v>
      </c>
      <c r="J313" s="18">
        <v>1.9</v>
      </c>
      <c r="K313" s="30">
        <v>3.4</v>
      </c>
      <c r="L313" s="18">
        <v>5.3</v>
      </c>
      <c r="M313" s="161"/>
      <c r="N313" s="161"/>
    </row>
    <row r="314" spans="3:14">
      <c r="C314" s="18">
        <f t="shared" si="4"/>
        <v>19</v>
      </c>
      <c r="D314" s="18" t="s">
        <v>71</v>
      </c>
      <c r="E314" s="164">
        <v>160</v>
      </c>
      <c r="F314" s="164" t="s">
        <v>793</v>
      </c>
      <c r="G314" s="164" t="s">
        <v>385</v>
      </c>
      <c r="H314" s="55">
        <f>77.9-9.4</f>
        <v>68.5</v>
      </c>
      <c r="I314" s="164" t="s">
        <v>276</v>
      </c>
      <c r="J314" s="18">
        <v>1.9</v>
      </c>
      <c r="K314" s="30">
        <v>3.4</v>
      </c>
      <c r="L314" s="18">
        <v>5.3</v>
      </c>
      <c r="M314" s="161"/>
      <c r="N314" s="161"/>
    </row>
    <row r="315" spans="3:14">
      <c r="C315" s="18">
        <f t="shared" si="4"/>
        <v>20</v>
      </c>
      <c r="D315" s="18" t="s">
        <v>71</v>
      </c>
      <c r="E315" s="164">
        <v>160</v>
      </c>
      <c r="F315" s="164" t="s">
        <v>385</v>
      </c>
      <c r="G315" s="164" t="s">
        <v>206</v>
      </c>
      <c r="H315" s="55">
        <v>8.5</v>
      </c>
      <c r="I315" s="164" t="s">
        <v>276</v>
      </c>
      <c r="J315" s="18">
        <v>1.9</v>
      </c>
      <c r="K315" s="30">
        <v>3.4</v>
      </c>
      <c r="L315" s="18">
        <v>5.3</v>
      </c>
      <c r="M315" s="161"/>
      <c r="N315" s="161"/>
    </row>
    <row r="316" spans="3:14">
      <c r="C316" s="18">
        <f t="shared" si="4"/>
        <v>21</v>
      </c>
      <c r="D316" s="18" t="s">
        <v>71</v>
      </c>
      <c r="E316" s="164">
        <v>160</v>
      </c>
      <c r="F316" s="164" t="s">
        <v>385</v>
      </c>
      <c r="G316" s="164" t="s">
        <v>206</v>
      </c>
      <c r="H316" s="55">
        <f>272.7-20</f>
        <v>252.7</v>
      </c>
      <c r="I316" s="164" t="s">
        <v>276</v>
      </c>
      <c r="J316" s="18">
        <v>1.9</v>
      </c>
      <c r="K316" s="30">
        <v>3.4</v>
      </c>
      <c r="L316" s="18">
        <v>5.3</v>
      </c>
      <c r="M316" s="161"/>
      <c r="N316" s="161"/>
    </row>
    <row r="317" spans="3:14">
      <c r="C317" s="18">
        <f t="shared" si="4"/>
        <v>22</v>
      </c>
      <c r="D317" s="18" t="s">
        <v>71</v>
      </c>
      <c r="E317" s="164">
        <v>160</v>
      </c>
      <c r="F317" s="164" t="s">
        <v>385</v>
      </c>
      <c r="G317" s="164" t="s">
        <v>206</v>
      </c>
      <c r="H317" s="55">
        <v>7.1</v>
      </c>
      <c r="I317" s="164" t="s">
        <v>276</v>
      </c>
      <c r="J317" s="18">
        <v>1.9</v>
      </c>
      <c r="K317" s="30">
        <v>3.4</v>
      </c>
      <c r="L317" s="18">
        <v>5.3</v>
      </c>
      <c r="M317" s="161"/>
      <c r="N317" s="161"/>
    </row>
    <row r="318" spans="3:14">
      <c r="C318" s="18">
        <f t="shared" si="4"/>
        <v>23</v>
      </c>
      <c r="D318" s="18" t="s">
        <v>71</v>
      </c>
      <c r="E318" s="164">
        <v>160</v>
      </c>
      <c r="F318" s="164" t="s">
        <v>206</v>
      </c>
      <c r="G318" s="164" t="s">
        <v>688</v>
      </c>
      <c r="H318" s="55">
        <v>7.1</v>
      </c>
      <c r="I318" s="164" t="s">
        <v>276</v>
      </c>
      <c r="J318" s="18">
        <v>1.9</v>
      </c>
      <c r="K318" s="30">
        <v>3.4</v>
      </c>
      <c r="L318" s="18">
        <v>5.3</v>
      </c>
      <c r="M318" s="161"/>
      <c r="N318" s="161"/>
    </row>
    <row r="319" spans="3:14">
      <c r="C319" s="18">
        <f t="shared" si="4"/>
        <v>24</v>
      </c>
      <c r="D319" s="18" t="s">
        <v>71</v>
      </c>
      <c r="E319" s="164">
        <v>160</v>
      </c>
      <c r="F319" s="164" t="s">
        <v>206</v>
      </c>
      <c r="G319" s="164" t="s">
        <v>688</v>
      </c>
      <c r="H319" s="55">
        <f>83.4-4-4.7</f>
        <v>74.7</v>
      </c>
      <c r="I319" s="164" t="s">
        <v>276</v>
      </c>
      <c r="J319" s="18">
        <v>1.9</v>
      </c>
      <c r="K319" s="30">
        <v>3.4</v>
      </c>
      <c r="L319" s="18">
        <v>5.3</v>
      </c>
      <c r="M319" s="161"/>
      <c r="N319" s="161"/>
    </row>
    <row r="320" spans="3:14">
      <c r="C320" s="18">
        <f t="shared" si="4"/>
        <v>25</v>
      </c>
      <c r="D320" s="18" t="s">
        <v>71</v>
      </c>
      <c r="E320" s="164">
        <v>160</v>
      </c>
      <c r="F320" s="164" t="s">
        <v>688</v>
      </c>
      <c r="G320" s="164" t="s">
        <v>772</v>
      </c>
      <c r="H320" s="55">
        <v>5.9</v>
      </c>
      <c r="I320" s="164" t="s">
        <v>276</v>
      </c>
      <c r="J320" s="18">
        <v>1.9</v>
      </c>
      <c r="K320" s="30">
        <v>3.4</v>
      </c>
      <c r="L320" s="18">
        <v>5.3</v>
      </c>
      <c r="M320" s="161"/>
      <c r="N320" s="161"/>
    </row>
    <row r="321" spans="3:14">
      <c r="C321" s="18">
        <f t="shared" si="4"/>
        <v>26</v>
      </c>
      <c r="D321" s="18" t="s">
        <v>71</v>
      </c>
      <c r="E321" s="164">
        <v>160</v>
      </c>
      <c r="F321" s="164" t="s">
        <v>688</v>
      </c>
      <c r="G321" s="164" t="s">
        <v>772</v>
      </c>
      <c r="H321" s="55">
        <f>221.9-20-4.7</f>
        <v>197.20000000000002</v>
      </c>
      <c r="I321" s="164" t="s">
        <v>276</v>
      </c>
      <c r="J321" s="18">
        <v>1.9</v>
      </c>
      <c r="K321" s="30">
        <v>3.4</v>
      </c>
      <c r="L321" s="18">
        <v>5.3</v>
      </c>
      <c r="M321" s="161"/>
      <c r="N321" s="161"/>
    </row>
    <row r="322" spans="3:14">
      <c r="C322" s="18">
        <f t="shared" si="4"/>
        <v>27</v>
      </c>
      <c r="D322" s="18" t="s">
        <v>71</v>
      </c>
      <c r="E322" s="164">
        <v>160</v>
      </c>
      <c r="F322" s="164" t="s">
        <v>688</v>
      </c>
      <c r="G322" s="164" t="s">
        <v>772</v>
      </c>
      <c r="H322" s="55">
        <v>5.6</v>
      </c>
      <c r="I322" s="164" t="s">
        <v>276</v>
      </c>
      <c r="J322" s="18">
        <v>1.9</v>
      </c>
      <c r="K322" s="30">
        <v>3.4</v>
      </c>
      <c r="L322" s="18">
        <v>5.3</v>
      </c>
      <c r="M322" s="161"/>
      <c r="N322" s="161"/>
    </row>
    <row r="323" spans="3:14">
      <c r="C323" s="18">
        <f t="shared" si="4"/>
        <v>28</v>
      </c>
      <c r="D323" s="18" t="s">
        <v>71</v>
      </c>
      <c r="E323" s="164">
        <v>160</v>
      </c>
      <c r="F323" s="164" t="s">
        <v>688</v>
      </c>
      <c r="G323" s="164" t="s">
        <v>772</v>
      </c>
      <c r="H323" s="55">
        <f>120.1-10-4.7</f>
        <v>105.39999999999999</v>
      </c>
      <c r="I323" s="164" t="s">
        <v>276</v>
      </c>
      <c r="J323" s="18">
        <v>1.9</v>
      </c>
      <c r="K323" s="30">
        <v>3.4</v>
      </c>
      <c r="L323" s="18">
        <v>5.3</v>
      </c>
      <c r="M323" s="161"/>
      <c r="N323" s="161"/>
    </row>
    <row r="324" spans="3:14">
      <c r="C324" s="18">
        <f t="shared" si="4"/>
        <v>29</v>
      </c>
      <c r="D324" s="18" t="s">
        <v>71</v>
      </c>
      <c r="E324" s="164">
        <v>160</v>
      </c>
      <c r="F324" s="164" t="s">
        <v>772</v>
      </c>
      <c r="G324" s="164" t="s">
        <v>233</v>
      </c>
      <c r="H324" s="55">
        <f>334.1-13-8-4.7</f>
        <v>308.40000000000003</v>
      </c>
      <c r="I324" s="164" t="s">
        <v>276</v>
      </c>
      <c r="J324" s="18">
        <v>1.9</v>
      </c>
      <c r="K324" s="30">
        <v>3.4</v>
      </c>
      <c r="L324" s="18">
        <v>5.3</v>
      </c>
      <c r="M324" s="161"/>
      <c r="N324" s="161"/>
    </row>
    <row r="325" spans="3:14">
      <c r="C325" s="18">
        <f t="shared" si="4"/>
        <v>30</v>
      </c>
      <c r="D325" s="18" t="s">
        <v>71</v>
      </c>
      <c r="E325" s="164">
        <v>160</v>
      </c>
      <c r="F325" s="164" t="s">
        <v>772</v>
      </c>
      <c r="G325" s="164" t="s">
        <v>233</v>
      </c>
      <c r="H325" s="55">
        <v>5.0999999999999996</v>
      </c>
      <c r="I325" s="164" t="s">
        <v>276</v>
      </c>
      <c r="J325" s="18">
        <v>1.9</v>
      </c>
      <c r="K325" s="30">
        <v>3.4</v>
      </c>
      <c r="L325" s="18">
        <v>5.3</v>
      </c>
      <c r="M325" s="161"/>
      <c r="N325" s="161"/>
    </row>
    <row r="326" spans="3:14">
      <c r="C326" s="18">
        <f t="shared" si="4"/>
        <v>31</v>
      </c>
      <c r="D326" s="18" t="s">
        <v>71</v>
      </c>
      <c r="E326" s="164">
        <v>160</v>
      </c>
      <c r="F326" s="164" t="s">
        <v>772</v>
      </c>
      <c r="G326" s="164" t="s">
        <v>233</v>
      </c>
      <c r="H326" s="55">
        <v>1.2</v>
      </c>
      <c r="I326" s="164" t="s">
        <v>276</v>
      </c>
      <c r="J326" s="18">
        <v>1.9</v>
      </c>
      <c r="K326" s="30">
        <v>3.4</v>
      </c>
      <c r="L326" s="18">
        <v>5.3</v>
      </c>
      <c r="M326" s="161"/>
      <c r="N326" s="161"/>
    </row>
    <row r="327" spans="3:14">
      <c r="C327" s="18">
        <f t="shared" si="4"/>
        <v>32</v>
      </c>
      <c r="D327" s="18" t="s">
        <v>71</v>
      </c>
      <c r="E327" s="164">
        <v>160</v>
      </c>
      <c r="F327" s="164" t="s">
        <v>233</v>
      </c>
      <c r="G327" s="164" t="s">
        <v>195</v>
      </c>
      <c r="H327" s="55">
        <v>14.2</v>
      </c>
      <c r="I327" s="164" t="s">
        <v>276</v>
      </c>
      <c r="J327" s="18">
        <v>1.9</v>
      </c>
      <c r="K327" s="30">
        <v>3.4</v>
      </c>
      <c r="L327" s="18">
        <v>5.3</v>
      </c>
      <c r="M327" s="161"/>
      <c r="N327" s="161"/>
    </row>
    <row r="328" spans="3:14">
      <c r="C328" s="18">
        <f t="shared" si="4"/>
        <v>33</v>
      </c>
      <c r="D328" s="18" t="s">
        <v>71</v>
      </c>
      <c r="E328" s="164">
        <v>160</v>
      </c>
      <c r="F328" s="164" t="s">
        <v>233</v>
      </c>
      <c r="G328" s="164" t="s">
        <v>195</v>
      </c>
      <c r="H328" s="55">
        <v>10</v>
      </c>
      <c r="I328" s="164" t="s">
        <v>276</v>
      </c>
      <c r="J328" s="18">
        <v>1.9</v>
      </c>
      <c r="K328" s="30">
        <v>3.4</v>
      </c>
      <c r="L328" s="18">
        <v>5.3</v>
      </c>
      <c r="M328" s="161"/>
      <c r="N328" s="161"/>
    </row>
    <row r="329" spans="3:14">
      <c r="C329" s="18">
        <f t="shared" si="4"/>
        <v>34</v>
      </c>
      <c r="D329" s="18" t="s">
        <v>71</v>
      </c>
      <c r="E329" s="164">
        <v>160</v>
      </c>
      <c r="F329" s="164" t="s">
        <v>233</v>
      </c>
      <c r="G329" s="164" t="s">
        <v>195</v>
      </c>
      <c r="H329" s="55">
        <v>5.2</v>
      </c>
      <c r="I329" s="164" t="s">
        <v>276</v>
      </c>
      <c r="J329" s="18">
        <v>1.9</v>
      </c>
      <c r="K329" s="30">
        <v>3.4</v>
      </c>
      <c r="L329" s="18">
        <v>5.3</v>
      </c>
      <c r="M329" s="161"/>
      <c r="N329" s="161"/>
    </row>
    <row r="330" spans="3:14">
      <c r="C330" s="18">
        <f t="shared" si="4"/>
        <v>35</v>
      </c>
      <c r="D330" s="18" t="s">
        <v>71</v>
      </c>
      <c r="E330" s="164">
        <v>160</v>
      </c>
      <c r="F330" s="164" t="s">
        <v>195</v>
      </c>
      <c r="G330" s="164" t="s">
        <v>1167</v>
      </c>
      <c r="H330" s="55">
        <f>172.1-15</f>
        <v>157.1</v>
      </c>
      <c r="I330" s="164" t="s">
        <v>276</v>
      </c>
      <c r="J330" s="18">
        <v>1.9</v>
      </c>
      <c r="K330" s="30">
        <v>3.4</v>
      </c>
      <c r="L330" s="18">
        <v>5.3</v>
      </c>
      <c r="M330" s="161"/>
      <c r="N330" s="161"/>
    </row>
    <row r="331" spans="3:14">
      <c r="C331" s="18">
        <f t="shared" si="4"/>
        <v>36</v>
      </c>
      <c r="D331" s="18" t="s">
        <v>71</v>
      </c>
      <c r="E331" s="164">
        <v>160</v>
      </c>
      <c r="F331" s="164" t="s">
        <v>1167</v>
      </c>
      <c r="G331" s="164" t="s">
        <v>220</v>
      </c>
      <c r="H331" s="55">
        <v>5.7</v>
      </c>
      <c r="I331" s="164" t="s">
        <v>276</v>
      </c>
      <c r="J331" s="18">
        <v>1.9</v>
      </c>
      <c r="K331" s="30">
        <v>3.4</v>
      </c>
      <c r="L331" s="18">
        <v>5.3</v>
      </c>
      <c r="M331" s="161"/>
      <c r="N331" s="161"/>
    </row>
    <row r="332" spans="3:14">
      <c r="C332" s="18">
        <f t="shared" si="4"/>
        <v>37</v>
      </c>
      <c r="D332" s="18" t="s">
        <v>71</v>
      </c>
      <c r="E332" s="164">
        <v>160</v>
      </c>
      <c r="F332" s="164" t="s">
        <v>1167</v>
      </c>
      <c r="G332" s="164" t="s">
        <v>220</v>
      </c>
      <c r="H332" s="55">
        <f>118.3-8-4.7</f>
        <v>105.6</v>
      </c>
      <c r="I332" s="164" t="s">
        <v>276</v>
      </c>
      <c r="J332" s="18">
        <v>1.9</v>
      </c>
      <c r="K332" s="30">
        <v>3.4</v>
      </c>
      <c r="L332" s="18">
        <v>5.3</v>
      </c>
      <c r="M332" s="161"/>
      <c r="N332" s="161"/>
    </row>
    <row r="333" spans="3:14">
      <c r="C333" s="18">
        <f t="shared" si="4"/>
        <v>38</v>
      </c>
      <c r="D333" s="18" t="s">
        <v>71</v>
      </c>
      <c r="E333" s="164">
        <v>160</v>
      </c>
      <c r="F333" s="164" t="s">
        <v>220</v>
      </c>
      <c r="G333" s="164" t="s">
        <v>242</v>
      </c>
      <c r="H333" s="55">
        <f>194-12</f>
        <v>182</v>
      </c>
      <c r="I333" s="164" t="s">
        <v>276</v>
      </c>
      <c r="J333" s="18">
        <v>1.9</v>
      </c>
      <c r="K333" s="30">
        <v>3.4</v>
      </c>
      <c r="L333" s="18">
        <v>5.3</v>
      </c>
      <c r="M333" s="161"/>
      <c r="N333" s="161"/>
    </row>
    <row r="334" spans="3:14">
      <c r="C334" s="18">
        <f t="shared" si="4"/>
        <v>39</v>
      </c>
      <c r="D334" s="18" t="s">
        <v>71</v>
      </c>
      <c r="E334" s="164">
        <v>160</v>
      </c>
      <c r="F334" s="164" t="s">
        <v>242</v>
      </c>
      <c r="G334" s="164" t="s">
        <v>708</v>
      </c>
      <c r="H334" s="55">
        <f>35.5-2</f>
        <v>33.5</v>
      </c>
      <c r="I334" s="164" t="s">
        <v>276</v>
      </c>
      <c r="J334" s="18">
        <v>1.9</v>
      </c>
      <c r="K334" s="30">
        <v>3.4</v>
      </c>
      <c r="L334" s="18">
        <v>5.3</v>
      </c>
      <c r="M334" s="161"/>
      <c r="N334" s="161"/>
    </row>
    <row r="335" spans="3:14">
      <c r="C335" s="18">
        <f t="shared" si="4"/>
        <v>40</v>
      </c>
      <c r="D335" s="18" t="s">
        <v>71</v>
      </c>
      <c r="E335" s="164">
        <v>160</v>
      </c>
      <c r="F335" s="164" t="s">
        <v>793</v>
      </c>
      <c r="G335" s="164" t="s">
        <v>116</v>
      </c>
      <c r="H335" s="55">
        <f>140.2-12-1</f>
        <v>127.19999999999999</v>
      </c>
      <c r="I335" s="164" t="s">
        <v>276</v>
      </c>
      <c r="J335" s="18">
        <v>1.9</v>
      </c>
      <c r="K335" s="30">
        <v>3.4</v>
      </c>
      <c r="L335" s="18">
        <v>5.3</v>
      </c>
      <c r="M335" s="161"/>
      <c r="N335" s="161"/>
    </row>
    <row r="336" spans="3:14">
      <c r="C336" s="18">
        <f t="shared" si="4"/>
        <v>41</v>
      </c>
      <c r="D336" s="18" t="s">
        <v>71</v>
      </c>
      <c r="E336" s="164">
        <v>160</v>
      </c>
      <c r="F336" s="164" t="s">
        <v>242</v>
      </c>
      <c r="G336" s="164" t="s">
        <v>417</v>
      </c>
      <c r="H336" s="55">
        <f>29.5-4.7</f>
        <v>24.8</v>
      </c>
      <c r="I336" s="164" t="s">
        <v>276</v>
      </c>
      <c r="J336" s="18">
        <v>1.9</v>
      </c>
      <c r="K336" s="30">
        <v>3.4</v>
      </c>
      <c r="L336" s="18">
        <v>5.3</v>
      </c>
      <c r="M336" s="161"/>
      <c r="N336" s="161"/>
    </row>
    <row r="337" spans="3:14">
      <c r="C337" s="18">
        <f t="shared" si="4"/>
        <v>42</v>
      </c>
      <c r="D337" s="18" t="s">
        <v>71</v>
      </c>
      <c r="E337" s="164">
        <v>160</v>
      </c>
      <c r="F337" s="164" t="s">
        <v>504</v>
      </c>
      <c r="G337" s="164" t="s">
        <v>150</v>
      </c>
      <c r="H337" s="55">
        <f>20-4.7</f>
        <v>15.3</v>
      </c>
      <c r="I337" s="164" t="s">
        <v>276</v>
      </c>
      <c r="J337" s="18">
        <v>1.9</v>
      </c>
      <c r="K337" s="30">
        <v>3.4</v>
      </c>
      <c r="L337" s="18">
        <v>5.3</v>
      </c>
      <c r="M337" s="161"/>
      <c r="N337" s="161"/>
    </row>
    <row r="338" spans="3:14">
      <c r="C338" s="18">
        <f t="shared" si="4"/>
        <v>43</v>
      </c>
      <c r="D338" s="18" t="s">
        <v>71</v>
      </c>
      <c r="E338" s="164">
        <v>160</v>
      </c>
      <c r="F338" s="164" t="s">
        <v>150</v>
      </c>
      <c r="G338" s="164" t="s">
        <v>506</v>
      </c>
      <c r="H338" s="55">
        <f>76.3-5</f>
        <v>71.3</v>
      </c>
      <c r="I338" s="164" t="s">
        <v>276</v>
      </c>
      <c r="J338" s="18">
        <v>1.9</v>
      </c>
      <c r="K338" s="30">
        <v>3.4</v>
      </c>
      <c r="L338" s="18">
        <v>5.3</v>
      </c>
      <c r="M338" s="161"/>
      <c r="N338" s="161"/>
    </row>
    <row r="339" spans="3:14">
      <c r="C339" s="18">
        <f t="shared" si="4"/>
        <v>44</v>
      </c>
      <c r="D339" s="18" t="s">
        <v>71</v>
      </c>
      <c r="E339" s="164">
        <v>160</v>
      </c>
      <c r="F339" s="164" t="s">
        <v>116</v>
      </c>
      <c r="G339" s="164" t="s">
        <v>168</v>
      </c>
      <c r="H339" s="55">
        <f>17.6-4.7</f>
        <v>12.900000000000002</v>
      </c>
      <c r="I339" s="164" t="s">
        <v>276</v>
      </c>
      <c r="J339" s="18">
        <v>1.9</v>
      </c>
      <c r="K339" s="30">
        <v>3.4</v>
      </c>
      <c r="L339" s="18">
        <v>5.3</v>
      </c>
      <c r="M339" s="161"/>
      <c r="N339" s="161"/>
    </row>
    <row r="340" spans="3:14">
      <c r="C340" s="18"/>
      <c r="D340" s="18"/>
      <c r="E340" s="19"/>
      <c r="F340" s="19"/>
      <c r="G340" s="19"/>
      <c r="H340" s="164"/>
      <c r="I340" s="164"/>
      <c r="J340" s="18"/>
      <c r="K340" s="30"/>
      <c r="L340" s="18"/>
      <c r="M340" s="161"/>
      <c r="N340" s="161"/>
    </row>
    <row r="341" spans="3:14">
      <c r="C341" s="374"/>
      <c r="D341" s="374"/>
      <c r="E341" s="374"/>
      <c r="F341" s="374"/>
      <c r="G341" s="374"/>
      <c r="H341" s="374"/>
      <c r="I341" s="374"/>
      <c r="J341" s="374"/>
      <c r="K341" s="374"/>
      <c r="L341" s="374"/>
      <c r="M341" s="374"/>
      <c r="N341" s="374"/>
    </row>
    <row r="342" spans="3:14">
      <c r="C342" s="324"/>
      <c r="D342" s="324"/>
      <c r="E342" s="325" t="s">
        <v>86</v>
      </c>
      <c r="F342" s="325"/>
      <c r="G342" s="325"/>
      <c r="H342" s="325"/>
      <c r="I342" s="325" t="s">
        <v>87</v>
      </c>
      <c r="J342" s="325"/>
      <c r="K342" s="325"/>
      <c r="L342" s="325" t="s">
        <v>39</v>
      </c>
      <c r="M342" s="325"/>
      <c r="N342" s="325"/>
    </row>
    <row r="343" spans="3:14">
      <c r="C343" s="295" t="s">
        <v>40</v>
      </c>
      <c r="D343" s="295"/>
      <c r="E343" s="317"/>
      <c r="F343" s="317"/>
      <c r="G343" s="317"/>
      <c r="H343" s="317"/>
      <c r="I343" s="317"/>
      <c r="J343" s="317"/>
      <c r="K343" s="317"/>
      <c r="L343" s="317"/>
      <c r="M343" s="317"/>
      <c r="N343" s="317"/>
    </row>
    <row r="344" spans="3:14">
      <c r="C344" s="295" t="s">
        <v>41</v>
      </c>
      <c r="D344" s="295"/>
      <c r="E344" s="317"/>
      <c r="F344" s="317"/>
      <c r="G344" s="317"/>
      <c r="H344" s="317"/>
      <c r="I344" s="317"/>
      <c r="J344" s="317"/>
      <c r="K344" s="317"/>
      <c r="L344" s="317"/>
      <c r="M344" s="317"/>
      <c r="N344" s="317"/>
    </row>
    <row r="345" spans="3:14">
      <c r="C345" s="295" t="s">
        <v>42</v>
      </c>
      <c r="D345" s="295"/>
      <c r="E345" s="317"/>
      <c r="F345" s="317"/>
      <c r="G345" s="317"/>
      <c r="H345" s="317"/>
      <c r="I345" s="317"/>
      <c r="J345" s="317"/>
      <c r="K345" s="317"/>
      <c r="L345" s="317"/>
      <c r="M345" s="317"/>
      <c r="N345" s="317"/>
    </row>
    <row r="346" spans="3:14">
      <c r="C346" s="295" t="s">
        <v>43</v>
      </c>
      <c r="D346" s="295"/>
      <c r="E346" s="315"/>
      <c r="F346" s="316"/>
      <c r="G346" s="316"/>
      <c r="H346" s="316"/>
      <c r="I346" s="317"/>
      <c r="J346" s="317"/>
      <c r="K346" s="317"/>
      <c r="L346" s="317"/>
      <c r="M346" s="317"/>
      <c r="N346" s="317"/>
    </row>
  </sheetData>
  <mergeCells count="205">
    <mergeCell ref="C346:D346"/>
    <mergeCell ref="E346:H346"/>
    <mergeCell ref="I346:K346"/>
    <mergeCell ref="L346:N346"/>
    <mergeCell ref="C343:D343"/>
    <mergeCell ref="E343:H343"/>
    <mergeCell ref="I343:K343"/>
    <mergeCell ref="L343:N343"/>
    <mergeCell ref="C344:D344"/>
    <mergeCell ref="E344:H344"/>
    <mergeCell ref="I344:K344"/>
    <mergeCell ref="L344:N344"/>
    <mergeCell ref="C341:N341"/>
    <mergeCell ref="C342:D342"/>
    <mergeCell ref="E342:H342"/>
    <mergeCell ref="I342:K342"/>
    <mergeCell ref="L342:N342"/>
    <mergeCell ref="C345:D345"/>
    <mergeCell ref="E345:H345"/>
    <mergeCell ref="I345:K345"/>
    <mergeCell ref="L345:N345"/>
    <mergeCell ref="C290:N290"/>
    <mergeCell ref="C292:N292"/>
    <mergeCell ref="D293:H293"/>
    <mergeCell ref="I293:N293"/>
    <mergeCell ref="C294:C295"/>
    <mergeCell ref="D294:D295"/>
    <mergeCell ref="E294:E295"/>
    <mergeCell ref="F294:F295"/>
    <mergeCell ref="G294:G295"/>
    <mergeCell ref="H294:H295"/>
    <mergeCell ref="I294:I295"/>
    <mergeCell ref="J294:L294"/>
    <mergeCell ref="M294:M295"/>
    <mergeCell ref="N294:N295"/>
    <mergeCell ref="C282:C285"/>
    <mergeCell ref="D282:K285"/>
    <mergeCell ref="C286:D286"/>
    <mergeCell ref="C287:D287"/>
    <mergeCell ref="C288:D288"/>
    <mergeCell ref="C289:D289"/>
    <mergeCell ref="C279:D279"/>
    <mergeCell ref="E279:H279"/>
    <mergeCell ref="I279:K279"/>
    <mergeCell ref="C275:N275"/>
    <mergeCell ref="C276:D276"/>
    <mergeCell ref="E276:H276"/>
    <mergeCell ref="I276:K276"/>
    <mergeCell ref="L276:N276"/>
    <mergeCell ref="L279:N279"/>
    <mergeCell ref="C280:D280"/>
    <mergeCell ref="E280:H280"/>
    <mergeCell ref="I280:K280"/>
    <mergeCell ref="L280:N280"/>
    <mergeCell ref="C277:D277"/>
    <mergeCell ref="E277:H277"/>
    <mergeCell ref="I277:K277"/>
    <mergeCell ref="L277:N277"/>
    <mergeCell ref="C278:D278"/>
    <mergeCell ref="E278:H278"/>
    <mergeCell ref="I278:K278"/>
    <mergeCell ref="L278:N278"/>
    <mergeCell ref="C218:N218"/>
    <mergeCell ref="C220:N220"/>
    <mergeCell ref="D221:H221"/>
    <mergeCell ref="I221:N221"/>
    <mergeCell ref="C222:C223"/>
    <mergeCell ref="D222:D223"/>
    <mergeCell ref="E222:E223"/>
    <mergeCell ref="F222:F223"/>
    <mergeCell ref="G222:G223"/>
    <mergeCell ref="H222:H223"/>
    <mergeCell ref="I222:I223"/>
    <mergeCell ref="J222:L222"/>
    <mergeCell ref="M222:M223"/>
    <mergeCell ref="N222:N223"/>
    <mergeCell ref="C210:C213"/>
    <mergeCell ref="D210:K213"/>
    <mergeCell ref="C214:D214"/>
    <mergeCell ref="C215:D215"/>
    <mergeCell ref="C216:D216"/>
    <mergeCell ref="C217:D217"/>
    <mergeCell ref="C207:D207"/>
    <mergeCell ref="E207:H207"/>
    <mergeCell ref="I207:K207"/>
    <mergeCell ref="C203:N203"/>
    <mergeCell ref="C204:D204"/>
    <mergeCell ref="E204:H204"/>
    <mergeCell ref="I204:K204"/>
    <mergeCell ref="L204:N204"/>
    <mergeCell ref="L207:N207"/>
    <mergeCell ref="C208:D208"/>
    <mergeCell ref="E208:H208"/>
    <mergeCell ref="I208:K208"/>
    <mergeCell ref="L208:N208"/>
    <mergeCell ref="C205:D205"/>
    <mergeCell ref="E205:H205"/>
    <mergeCell ref="I205:K205"/>
    <mergeCell ref="L205:N205"/>
    <mergeCell ref="C206:D206"/>
    <mergeCell ref="E206:H206"/>
    <mergeCell ref="I206:K206"/>
    <mergeCell ref="L206:N206"/>
    <mergeCell ref="C154:N154"/>
    <mergeCell ref="C156:N156"/>
    <mergeCell ref="D157:H157"/>
    <mergeCell ref="I157:N157"/>
    <mergeCell ref="C158:C159"/>
    <mergeCell ref="D158:D159"/>
    <mergeCell ref="E158:E159"/>
    <mergeCell ref="F158:F159"/>
    <mergeCell ref="G158:G159"/>
    <mergeCell ref="H158:H159"/>
    <mergeCell ref="I158:I159"/>
    <mergeCell ref="J158:L158"/>
    <mergeCell ref="M158:M159"/>
    <mergeCell ref="N158:N159"/>
    <mergeCell ref="C146:C149"/>
    <mergeCell ref="D146:K149"/>
    <mergeCell ref="C150:D150"/>
    <mergeCell ref="C151:D151"/>
    <mergeCell ref="C152:D152"/>
    <mergeCell ref="C153:D153"/>
    <mergeCell ref="C143:D143"/>
    <mergeCell ref="E143:H143"/>
    <mergeCell ref="I143:K143"/>
    <mergeCell ref="C139:N139"/>
    <mergeCell ref="C140:D140"/>
    <mergeCell ref="E140:H140"/>
    <mergeCell ref="I140:K140"/>
    <mergeCell ref="L140:N140"/>
    <mergeCell ref="L143:N143"/>
    <mergeCell ref="C144:D144"/>
    <mergeCell ref="E144:H144"/>
    <mergeCell ref="I144:K144"/>
    <mergeCell ref="L144:N144"/>
    <mergeCell ref="C141:D141"/>
    <mergeCell ref="E141:H141"/>
    <mergeCell ref="I141:K141"/>
    <mergeCell ref="L141:N141"/>
    <mergeCell ref="C142:D142"/>
    <mergeCell ref="E142:H142"/>
    <mergeCell ref="I142:K142"/>
    <mergeCell ref="L142:N142"/>
    <mergeCell ref="C84:N84"/>
    <mergeCell ref="C86:N86"/>
    <mergeCell ref="D87:H87"/>
    <mergeCell ref="I87:N87"/>
    <mergeCell ref="C88:C89"/>
    <mergeCell ref="D88:D89"/>
    <mergeCell ref="E88:E89"/>
    <mergeCell ref="F88:F89"/>
    <mergeCell ref="G88:G89"/>
    <mergeCell ref="H88:H89"/>
    <mergeCell ref="I88:I89"/>
    <mergeCell ref="J88:L88"/>
    <mergeCell ref="M88:M89"/>
    <mergeCell ref="N88:N89"/>
    <mergeCell ref="C76:C79"/>
    <mergeCell ref="D76:K79"/>
    <mergeCell ref="C80:D80"/>
    <mergeCell ref="C81:D81"/>
    <mergeCell ref="C82:D82"/>
    <mergeCell ref="C83:D83"/>
    <mergeCell ref="C73:D73"/>
    <mergeCell ref="E73:H73"/>
    <mergeCell ref="I73:K73"/>
    <mergeCell ref="C69:N69"/>
    <mergeCell ref="C70:D70"/>
    <mergeCell ref="E70:H70"/>
    <mergeCell ref="I70:K70"/>
    <mergeCell ref="L70:N70"/>
    <mergeCell ref="L73:N73"/>
    <mergeCell ref="C74:D74"/>
    <mergeCell ref="E74:H74"/>
    <mergeCell ref="I74:K74"/>
    <mergeCell ref="L74:N74"/>
    <mergeCell ref="C71:D71"/>
    <mergeCell ref="E71:H71"/>
    <mergeCell ref="I71:K71"/>
    <mergeCell ref="L71:N71"/>
    <mergeCell ref="C72:D72"/>
    <mergeCell ref="E72:H72"/>
    <mergeCell ref="I72:K72"/>
    <mergeCell ref="L72:N72"/>
    <mergeCell ref="H16:H17"/>
    <mergeCell ref="I16:I17"/>
    <mergeCell ref="J16:L16"/>
    <mergeCell ref="M16:M17"/>
    <mergeCell ref="C4:C7"/>
    <mergeCell ref="D4:K7"/>
    <mergeCell ref="C8:D8"/>
    <mergeCell ref="C9:D9"/>
    <mergeCell ref="C10:D10"/>
    <mergeCell ref="C11:D11"/>
    <mergeCell ref="C12:N12"/>
    <mergeCell ref="C14:N14"/>
    <mergeCell ref="D15:H15"/>
    <mergeCell ref="I15:N15"/>
    <mergeCell ref="N16:N17"/>
    <mergeCell ref="C16:C17"/>
    <mergeCell ref="D16:D17"/>
    <mergeCell ref="E16:E17"/>
    <mergeCell ref="F16:F17"/>
    <mergeCell ref="G16:G17"/>
  </mergeCells>
  <printOptions horizontalCentered="1"/>
  <pageMargins left="0.25" right="0.25" top="0.75" bottom="0.75" header="0.3" footer="0.3"/>
  <pageSetup paperSize="9" scale="73" orientation="portrait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N258"/>
  <sheetViews>
    <sheetView topLeftCell="A43" zoomScale="85" zoomScaleNormal="85" workbookViewId="0">
      <selection activeCell="R20" sqref="R20"/>
    </sheetView>
  </sheetViews>
  <sheetFormatPr defaultRowHeight="15"/>
  <cols>
    <col min="9" max="9" width="10.85546875" customWidth="1"/>
  </cols>
  <sheetData>
    <row r="3" spans="3:14" ht="15.75" thickBot="1"/>
    <row r="4" spans="3:14">
      <c r="C4" s="206"/>
      <c r="D4" s="211" t="s">
        <v>44</v>
      </c>
      <c r="E4" s="212"/>
      <c r="F4" s="212"/>
      <c r="G4" s="212"/>
      <c r="H4" s="212"/>
      <c r="I4" s="212"/>
      <c r="J4" s="212"/>
      <c r="K4" s="212"/>
      <c r="L4" s="20"/>
      <c r="M4" s="20"/>
      <c r="N4" s="21"/>
    </row>
    <row r="5" spans="3:14">
      <c r="C5" s="207"/>
      <c r="D5" s="214"/>
      <c r="E5" s="215"/>
      <c r="F5" s="215"/>
      <c r="G5" s="215"/>
      <c r="H5" s="215"/>
      <c r="I5" s="215"/>
      <c r="J5" s="215"/>
      <c r="K5" s="215"/>
      <c r="N5" s="22"/>
    </row>
    <row r="6" spans="3:14">
      <c r="C6" s="207"/>
      <c r="D6" s="214"/>
      <c r="E6" s="215"/>
      <c r="F6" s="215"/>
      <c r="G6" s="215"/>
      <c r="H6" s="215"/>
      <c r="I6" s="215"/>
      <c r="J6" s="215"/>
      <c r="K6" s="215"/>
      <c r="N6" s="22"/>
    </row>
    <row r="7" spans="3:14">
      <c r="C7" s="207"/>
      <c r="D7" s="289"/>
      <c r="E7" s="290"/>
      <c r="F7" s="290"/>
      <c r="G7" s="290"/>
      <c r="H7" s="290"/>
      <c r="I7" s="290"/>
      <c r="J7" s="290"/>
      <c r="K7" s="290"/>
      <c r="N7" s="22"/>
    </row>
    <row r="8" spans="3:14" ht="16.5">
      <c r="C8" s="223" t="s">
        <v>45</v>
      </c>
      <c r="D8" s="224"/>
      <c r="E8" s="165" t="s">
        <v>46</v>
      </c>
      <c r="F8" s="166"/>
      <c r="G8" s="166"/>
      <c r="H8" s="166"/>
      <c r="I8" s="166"/>
      <c r="J8" s="166"/>
      <c r="K8" s="166"/>
      <c r="L8" s="166"/>
      <c r="M8" s="166"/>
      <c r="N8" s="23"/>
    </row>
    <row r="9" spans="3:14" ht="16.5">
      <c r="C9" s="223" t="s">
        <v>48</v>
      </c>
      <c r="D9" s="224"/>
      <c r="E9" s="165" t="s">
        <v>49</v>
      </c>
      <c r="F9" s="166"/>
      <c r="G9" s="166"/>
      <c r="H9" s="166"/>
      <c r="I9" s="166"/>
      <c r="J9" s="166"/>
      <c r="K9" s="166"/>
      <c r="L9" s="166"/>
      <c r="M9" s="166"/>
      <c r="N9" s="23"/>
    </row>
    <row r="10" spans="3:14" ht="16.5">
      <c r="C10" s="225" t="s">
        <v>50</v>
      </c>
      <c r="D10" s="226"/>
      <c r="E10" s="165" t="s">
        <v>51</v>
      </c>
      <c r="F10" s="166"/>
      <c r="G10" s="166"/>
      <c r="H10" s="166"/>
      <c r="I10" s="166"/>
      <c r="J10" s="166"/>
      <c r="K10" s="166"/>
      <c r="L10" s="166"/>
      <c r="M10" s="166"/>
      <c r="N10" s="23"/>
    </row>
    <row r="11" spans="3:14" ht="16.5">
      <c r="C11" s="223" t="s">
        <v>52</v>
      </c>
      <c r="D11" s="224"/>
      <c r="E11" s="165" t="s">
        <v>53</v>
      </c>
      <c r="F11" s="166"/>
      <c r="G11" s="166"/>
      <c r="H11" s="166"/>
      <c r="I11" s="166"/>
      <c r="J11" s="166"/>
      <c r="K11" s="166"/>
      <c r="L11" s="166"/>
      <c r="M11" s="166"/>
      <c r="N11" s="23"/>
    </row>
    <row r="12" spans="3:14" ht="15.75">
      <c r="C12" s="227" t="s">
        <v>1249</v>
      </c>
      <c r="D12" s="228"/>
      <c r="E12" s="228"/>
      <c r="F12" s="228"/>
      <c r="G12" s="228"/>
      <c r="H12" s="228"/>
      <c r="I12" s="228"/>
      <c r="J12" s="228"/>
      <c r="K12" s="228"/>
      <c r="L12" s="228"/>
      <c r="M12" s="228"/>
      <c r="N12" s="229"/>
    </row>
    <row r="13" spans="3:14" ht="15.75">
      <c r="C13" s="11" t="s">
        <v>55</v>
      </c>
      <c r="E13" s="12"/>
      <c r="F13" s="12"/>
      <c r="G13" s="12"/>
      <c r="H13" s="12"/>
      <c r="I13" s="24" t="s">
        <v>56</v>
      </c>
      <c r="J13" s="25"/>
      <c r="K13" s="12"/>
      <c r="L13" s="12"/>
      <c r="M13" s="12"/>
      <c r="N13" s="26"/>
    </row>
    <row r="14" spans="3:14">
      <c r="C14" s="217"/>
      <c r="D14" s="218"/>
      <c r="E14" s="218"/>
      <c r="F14" s="218"/>
      <c r="G14" s="218"/>
      <c r="H14" s="218"/>
      <c r="I14" s="218"/>
      <c r="J14" s="218"/>
      <c r="K14" s="218"/>
      <c r="L14" s="218"/>
      <c r="M14" s="218"/>
      <c r="N14" s="219"/>
    </row>
    <row r="15" spans="3:14" ht="15.75">
      <c r="C15" s="167" t="s">
        <v>103</v>
      </c>
      <c r="D15" s="355"/>
      <c r="E15" s="356"/>
      <c r="F15" s="356"/>
      <c r="G15" s="356"/>
      <c r="H15" s="357"/>
      <c r="I15" s="368" t="s">
        <v>542</v>
      </c>
      <c r="J15" s="369"/>
      <c r="K15" s="369"/>
      <c r="L15" s="369"/>
      <c r="M15" s="369"/>
      <c r="N15" s="370"/>
    </row>
    <row r="16" spans="3:14">
      <c r="C16" s="329" t="s">
        <v>59</v>
      </c>
      <c r="D16" s="209" t="s">
        <v>60</v>
      </c>
      <c r="E16" s="209" t="s">
        <v>659</v>
      </c>
      <c r="F16" s="209" t="s">
        <v>62</v>
      </c>
      <c r="G16" s="209" t="s">
        <v>63</v>
      </c>
      <c r="H16" s="209" t="s">
        <v>64</v>
      </c>
      <c r="I16" s="209" t="s">
        <v>65</v>
      </c>
      <c r="J16" s="342" t="s">
        <v>66</v>
      </c>
      <c r="K16" s="343"/>
      <c r="L16" s="344"/>
      <c r="M16" s="209" t="s">
        <v>30</v>
      </c>
      <c r="N16" s="328" t="s">
        <v>67</v>
      </c>
    </row>
    <row r="17" spans="3:14" ht="60">
      <c r="C17" s="359"/>
      <c r="D17" s="292"/>
      <c r="E17" s="292"/>
      <c r="F17" s="292"/>
      <c r="G17" s="292"/>
      <c r="H17" s="292"/>
      <c r="I17" s="292"/>
      <c r="J17" s="169" t="s">
        <v>68</v>
      </c>
      <c r="K17" s="28" t="s">
        <v>999</v>
      </c>
      <c r="L17" s="169" t="s">
        <v>70</v>
      </c>
      <c r="M17" s="292"/>
      <c r="N17" s="360"/>
    </row>
    <row r="18" spans="3:14" ht="15.75">
      <c r="C18" s="18">
        <v>1</v>
      </c>
      <c r="D18" s="18" t="s">
        <v>71</v>
      </c>
      <c r="E18" s="173">
        <v>63</v>
      </c>
      <c r="F18" s="173" t="s">
        <v>234</v>
      </c>
      <c r="G18" s="173" t="s">
        <v>445</v>
      </c>
      <c r="H18" s="173">
        <v>88</v>
      </c>
      <c r="I18" s="170" t="s">
        <v>276</v>
      </c>
      <c r="J18" s="18">
        <v>1.8</v>
      </c>
      <c r="K18" s="30">
        <v>3.1</v>
      </c>
      <c r="L18" s="18">
        <v>4.9000000000000004</v>
      </c>
      <c r="M18" s="168"/>
      <c r="N18" s="168"/>
    </row>
    <row r="19" spans="3:14" ht="15.75">
      <c r="C19" s="18">
        <f>1+C18</f>
        <v>2</v>
      </c>
      <c r="D19" s="18" t="s">
        <v>71</v>
      </c>
      <c r="E19" s="173">
        <v>125</v>
      </c>
      <c r="F19" s="173" t="s">
        <v>445</v>
      </c>
      <c r="G19" s="173" t="s">
        <v>708</v>
      </c>
      <c r="H19" s="173">
        <v>104.9</v>
      </c>
      <c r="I19" s="170" t="s">
        <v>276</v>
      </c>
      <c r="J19" s="18">
        <v>1.8</v>
      </c>
      <c r="K19" s="30">
        <v>3.1</v>
      </c>
      <c r="L19" s="18">
        <v>4.9000000000000004</v>
      </c>
      <c r="M19" s="168"/>
      <c r="N19" s="168"/>
    </row>
    <row r="20" spans="3:14" ht="15.75">
      <c r="C20" s="18">
        <f>1+C19</f>
        <v>3</v>
      </c>
      <c r="D20" s="18" t="s">
        <v>71</v>
      </c>
      <c r="E20" s="173">
        <v>63</v>
      </c>
      <c r="F20" s="173" t="s">
        <v>708</v>
      </c>
      <c r="G20" s="173" t="s">
        <v>122</v>
      </c>
      <c r="H20" s="173">
        <v>86.6</v>
      </c>
      <c r="I20" s="170" t="s">
        <v>276</v>
      </c>
      <c r="J20" s="18">
        <v>1.8</v>
      </c>
      <c r="K20" s="30">
        <v>3.1</v>
      </c>
      <c r="L20" s="18">
        <v>4.9000000000000004</v>
      </c>
      <c r="M20" s="168"/>
      <c r="N20" s="168"/>
    </row>
    <row r="21" spans="3:14" ht="15.75">
      <c r="C21" s="18">
        <f t="shared" ref="C21:C49" si="0">1+C20</f>
        <v>4</v>
      </c>
      <c r="D21" s="18" t="s">
        <v>71</v>
      </c>
      <c r="E21" s="173">
        <v>125</v>
      </c>
      <c r="F21" s="173" t="s">
        <v>708</v>
      </c>
      <c r="G21" s="173" t="s">
        <v>417</v>
      </c>
      <c r="H21" s="173">
        <v>63.6</v>
      </c>
      <c r="I21" s="170" t="s">
        <v>276</v>
      </c>
      <c r="J21" s="18">
        <v>1.8</v>
      </c>
      <c r="K21" s="30">
        <v>3.1</v>
      </c>
      <c r="L21" s="18">
        <v>4.9000000000000004</v>
      </c>
      <c r="M21" s="168"/>
      <c r="N21" s="168"/>
    </row>
    <row r="22" spans="3:14" ht="15.75">
      <c r="C22" s="18">
        <f t="shared" si="0"/>
        <v>5</v>
      </c>
      <c r="D22" s="18" t="s">
        <v>71</v>
      </c>
      <c r="E22" s="173">
        <v>160</v>
      </c>
      <c r="F22" s="173" t="s">
        <v>417</v>
      </c>
      <c r="G22" s="173" t="s">
        <v>421</v>
      </c>
      <c r="H22" s="173">
        <v>102.8</v>
      </c>
      <c r="I22" s="170" t="s">
        <v>276</v>
      </c>
      <c r="J22" s="18">
        <v>1.8</v>
      </c>
      <c r="K22" s="30">
        <v>3.1</v>
      </c>
      <c r="L22" s="18">
        <v>4.9000000000000004</v>
      </c>
      <c r="M22" s="168"/>
      <c r="N22" s="168"/>
    </row>
    <row r="23" spans="3:14" ht="15.75">
      <c r="C23" s="18">
        <f t="shared" si="0"/>
        <v>6</v>
      </c>
      <c r="D23" s="18" t="s">
        <v>71</v>
      </c>
      <c r="E23" s="173">
        <v>63</v>
      </c>
      <c r="F23" s="173" t="s">
        <v>421</v>
      </c>
      <c r="G23" s="173" t="s">
        <v>506</v>
      </c>
      <c r="H23" s="173">
        <v>166.8</v>
      </c>
      <c r="I23" s="170" t="s">
        <v>276</v>
      </c>
      <c r="J23" s="18">
        <v>1.8</v>
      </c>
      <c r="K23" s="30">
        <v>3.1</v>
      </c>
      <c r="L23" s="18">
        <v>4.9000000000000004</v>
      </c>
      <c r="M23" s="168"/>
      <c r="N23" s="168"/>
    </row>
    <row r="24" spans="3:14" ht="15.75">
      <c r="C24" s="18">
        <f t="shared" si="0"/>
        <v>7</v>
      </c>
      <c r="D24" s="18" t="s">
        <v>71</v>
      </c>
      <c r="E24" s="173">
        <v>160</v>
      </c>
      <c r="F24" s="173" t="s">
        <v>421</v>
      </c>
      <c r="G24" s="173" t="s">
        <v>226</v>
      </c>
      <c r="H24" s="173">
        <v>143.1</v>
      </c>
      <c r="I24" s="170" t="s">
        <v>276</v>
      </c>
      <c r="J24" s="18">
        <v>1.8</v>
      </c>
      <c r="K24" s="30">
        <v>3.1</v>
      </c>
      <c r="L24" s="18">
        <v>4.9000000000000004</v>
      </c>
      <c r="M24" s="168"/>
      <c r="N24" s="168"/>
    </row>
    <row r="25" spans="3:14" ht="15.75">
      <c r="C25" s="18">
        <f t="shared" si="0"/>
        <v>8</v>
      </c>
      <c r="D25" s="18" t="s">
        <v>71</v>
      </c>
      <c r="E25" s="173">
        <v>160</v>
      </c>
      <c r="F25" s="173" t="s">
        <v>226</v>
      </c>
      <c r="G25" s="173" t="s">
        <v>319</v>
      </c>
      <c r="H25" s="173">
        <v>157.80000000000001</v>
      </c>
      <c r="I25" s="170" t="s">
        <v>276</v>
      </c>
      <c r="J25" s="18">
        <v>1.8</v>
      </c>
      <c r="K25" s="30">
        <v>3.1</v>
      </c>
      <c r="L25" s="18">
        <v>4.9000000000000004</v>
      </c>
      <c r="M25" s="168"/>
      <c r="N25" s="168"/>
    </row>
    <row r="26" spans="3:14" ht="15.75">
      <c r="C26" s="18">
        <f t="shared" si="0"/>
        <v>9</v>
      </c>
      <c r="D26" s="18" t="s">
        <v>71</v>
      </c>
      <c r="E26" s="173">
        <v>140</v>
      </c>
      <c r="F26" s="173" t="s">
        <v>319</v>
      </c>
      <c r="G26" s="173" t="s">
        <v>688</v>
      </c>
      <c r="H26" s="173">
        <f>377.4+5.6+159.2</f>
        <v>542.20000000000005</v>
      </c>
      <c r="I26" s="170" t="s">
        <v>276</v>
      </c>
      <c r="J26" s="18">
        <v>1.8</v>
      </c>
      <c r="K26" s="30">
        <v>3.1</v>
      </c>
      <c r="L26" s="18">
        <v>4.9000000000000004</v>
      </c>
      <c r="M26" s="168"/>
      <c r="N26" s="168"/>
    </row>
    <row r="27" spans="3:14" ht="15.75">
      <c r="C27" s="18">
        <f t="shared" si="0"/>
        <v>10</v>
      </c>
      <c r="D27" s="18" t="s">
        <v>71</v>
      </c>
      <c r="E27" s="173">
        <v>125</v>
      </c>
      <c r="F27" s="173" t="s">
        <v>688</v>
      </c>
      <c r="G27" s="173" t="s">
        <v>385</v>
      </c>
      <c r="H27" s="173">
        <v>3.8</v>
      </c>
      <c r="I27" s="170" t="s">
        <v>276</v>
      </c>
      <c r="J27" s="18">
        <v>1.8</v>
      </c>
      <c r="K27" s="30">
        <v>3.1</v>
      </c>
      <c r="L27" s="18">
        <v>4.9000000000000004</v>
      </c>
      <c r="M27" s="168"/>
      <c r="N27" s="168"/>
    </row>
    <row r="28" spans="3:14" ht="15.75">
      <c r="C28" s="18">
        <f t="shared" si="0"/>
        <v>11</v>
      </c>
      <c r="D28" s="18" t="s">
        <v>71</v>
      </c>
      <c r="E28" s="173">
        <v>125</v>
      </c>
      <c r="F28" s="173" t="s">
        <v>688</v>
      </c>
      <c r="G28" s="173" t="s">
        <v>385</v>
      </c>
      <c r="H28" s="173">
        <v>157</v>
      </c>
      <c r="I28" s="170" t="s">
        <v>276</v>
      </c>
      <c r="J28" s="18">
        <v>1.8</v>
      </c>
      <c r="K28" s="30">
        <v>3.1</v>
      </c>
      <c r="L28" s="18">
        <v>4.9000000000000004</v>
      </c>
      <c r="M28" s="168"/>
      <c r="N28" s="168"/>
    </row>
    <row r="29" spans="3:14" ht="15.75">
      <c r="C29" s="18">
        <f t="shared" si="0"/>
        <v>12</v>
      </c>
      <c r="D29" s="18" t="s">
        <v>71</v>
      </c>
      <c r="E29" s="173">
        <v>75</v>
      </c>
      <c r="F29" s="173" t="s">
        <v>385</v>
      </c>
      <c r="G29" s="173" t="s">
        <v>409</v>
      </c>
      <c r="H29" s="173">
        <v>63.2</v>
      </c>
      <c r="I29" s="170" t="s">
        <v>276</v>
      </c>
      <c r="J29" s="18">
        <v>1.8</v>
      </c>
      <c r="K29" s="30">
        <v>3.1</v>
      </c>
      <c r="L29" s="18">
        <v>4.9000000000000004</v>
      </c>
      <c r="M29" s="168"/>
      <c r="N29" s="168"/>
    </row>
    <row r="30" spans="3:14" ht="15.75">
      <c r="C30" s="18">
        <f t="shared" si="0"/>
        <v>13</v>
      </c>
      <c r="D30" s="18" t="s">
        <v>71</v>
      </c>
      <c r="E30" s="173">
        <v>63</v>
      </c>
      <c r="F30" s="173" t="s">
        <v>1250</v>
      </c>
      <c r="G30" s="173" t="s">
        <v>1251</v>
      </c>
      <c r="H30" s="173">
        <v>46.1</v>
      </c>
      <c r="I30" s="170" t="s">
        <v>276</v>
      </c>
      <c r="J30" s="18">
        <v>1.8</v>
      </c>
      <c r="K30" s="30">
        <v>3.1</v>
      </c>
      <c r="L30" s="18">
        <v>4.9000000000000004</v>
      </c>
      <c r="M30" s="168"/>
      <c r="N30" s="168"/>
    </row>
    <row r="31" spans="3:14" ht="15.75">
      <c r="C31" s="18">
        <f t="shared" si="0"/>
        <v>14</v>
      </c>
      <c r="D31" s="18" t="s">
        <v>71</v>
      </c>
      <c r="E31" s="173">
        <v>125</v>
      </c>
      <c r="F31" s="173" t="s">
        <v>688</v>
      </c>
      <c r="G31" s="173" t="s">
        <v>229</v>
      </c>
      <c r="H31" s="173">
        <v>67.599999999999994</v>
      </c>
      <c r="I31" s="170" t="s">
        <v>276</v>
      </c>
      <c r="J31" s="18">
        <v>1.8</v>
      </c>
      <c r="K31" s="30">
        <v>3.1</v>
      </c>
      <c r="L31" s="18">
        <v>4.9000000000000004</v>
      </c>
      <c r="M31" s="168"/>
      <c r="N31" s="168"/>
    </row>
    <row r="32" spans="3:14" ht="15.75">
      <c r="C32" s="18">
        <f t="shared" si="0"/>
        <v>15</v>
      </c>
      <c r="D32" s="18" t="s">
        <v>71</v>
      </c>
      <c r="E32" s="173">
        <v>125</v>
      </c>
      <c r="F32" s="173" t="s">
        <v>229</v>
      </c>
      <c r="G32" s="173" t="s">
        <v>206</v>
      </c>
      <c r="H32" s="173">
        <v>89.1</v>
      </c>
      <c r="I32" s="170" t="s">
        <v>276</v>
      </c>
      <c r="J32" s="18">
        <v>1.8</v>
      </c>
      <c r="K32" s="30">
        <v>3.1</v>
      </c>
      <c r="L32" s="18">
        <v>4.9000000000000004</v>
      </c>
      <c r="M32" s="168"/>
      <c r="N32" s="168"/>
    </row>
    <row r="33" spans="3:14" ht="15.75">
      <c r="C33" s="18">
        <f t="shared" si="0"/>
        <v>16</v>
      </c>
      <c r="D33" s="18" t="s">
        <v>71</v>
      </c>
      <c r="E33" s="173">
        <v>63</v>
      </c>
      <c r="F33" s="173" t="s">
        <v>529</v>
      </c>
      <c r="G33" s="173" t="s">
        <v>982</v>
      </c>
      <c r="H33" s="182">
        <v>33.6</v>
      </c>
      <c r="I33" s="175" t="s">
        <v>276</v>
      </c>
      <c r="J33" s="18">
        <v>1.8</v>
      </c>
      <c r="K33" s="30">
        <v>3.1</v>
      </c>
      <c r="L33" s="18">
        <v>4.9000000000000004</v>
      </c>
      <c r="M33" s="174"/>
      <c r="N33" s="174"/>
    </row>
    <row r="34" spans="3:14" ht="15.75">
      <c r="C34" s="18">
        <f t="shared" si="0"/>
        <v>17</v>
      </c>
      <c r="D34" s="18" t="s">
        <v>71</v>
      </c>
      <c r="E34" s="173">
        <v>63</v>
      </c>
      <c r="F34" s="173" t="s">
        <v>206</v>
      </c>
      <c r="G34" s="173" t="s">
        <v>1283</v>
      </c>
      <c r="H34" s="182">
        <v>95.6</v>
      </c>
      <c r="I34" s="175" t="s">
        <v>276</v>
      </c>
      <c r="J34" s="18">
        <v>1.8</v>
      </c>
      <c r="K34" s="30">
        <v>3.1</v>
      </c>
      <c r="L34" s="18">
        <v>4.9000000000000004</v>
      </c>
      <c r="M34" s="174"/>
      <c r="N34" s="174"/>
    </row>
    <row r="35" spans="3:14" ht="15.75">
      <c r="C35" s="18">
        <f t="shared" si="0"/>
        <v>18</v>
      </c>
      <c r="D35" s="18" t="s">
        <v>71</v>
      </c>
      <c r="E35" s="173">
        <v>63</v>
      </c>
      <c r="F35" s="173" t="s">
        <v>1283</v>
      </c>
      <c r="G35" s="173" t="s">
        <v>1284</v>
      </c>
      <c r="H35" s="183">
        <v>97.1</v>
      </c>
      <c r="I35" s="175" t="s">
        <v>276</v>
      </c>
      <c r="J35" s="18">
        <v>1.8</v>
      </c>
      <c r="K35" s="30">
        <v>3.1</v>
      </c>
      <c r="L35" s="18">
        <v>4.9000000000000004</v>
      </c>
      <c r="M35" s="174"/>
      <c r="N35" s="174"/>
    </row>
    <row r="36" spans="3:14" ht="15.75">
      <c r="C36" s="18">
        <f t="shared" si="0"/>
        <v>19</v>
      </c>
      <c r="D36" s="18" t="s">
        <v>71</v>
      </c>
      <c r="E36" s="173">
        <v>90</v>
      </c>
      <c r="F36" s="173" t="s">
        <v>229</v>
      </c>
      <c r="G36" s="173" t="s">
        <v>116</v>
      </c>
      <c r="H36" s="173">
        <f>98.2+88.1+43.1</f>
        <v>229.4</v>
      </c>
      <c r="I36" s="170" t="s">
        <v>276</v>
      </c>
      <c r="J36" s="18">
        <v>1.8</v>
      </c>
      <c r="K36" s="30">
        <v>3.1</v>
      </c>
      <c r="L36" s="18">
        <v>4.9000000000000004</v>
      </c>
      <c r="M36" s="168"/>
      <c r="N36" s="168"/>
    </row>
    <row r="37" spans="3:14" ht="15.75">
      <c r="C37" s="18">
        <f t="shared" si="0"/>
        <v>20</v>
      </c>
      <c r="D37" s="18" t="s">
        <v>71</v>
      </c>
      <c r="E37" s="173">
        <v>160</v>
      </c>
      <c r="F37" s="173" t="s">
        <v>226</v>
      </c>
      <c r="G37" s="173" t="s">
        <v>241</v>
      </c>
      <c r="H37" s="173">
        <v>122.1</v>
      </c>
      <c r="I37" s="170" t="s">
        <v>276</v>
      </c>
      <c r="J37" s="18">
        <v>1.8</v>
      </c>
      <c r="K37" s="30">
        <v>3.1</v>
      </c>
      <c r="L37" s="18">
        <v>4.9000000000000004</v>
      </c>
      <c r="M37" s="168"/>
      <c r="N37" s="168"/>
    </row>
    <row r="38" spans="3:14" ht="15.75">
      <c r="C38" s="18">
        <f t="shared" si="0"/>
        <v>21</v>
      </c>
      <c r="D38" s="18" t="s">
        <v>71</v>
      </c>
      <c r="E38" s="173">
        <v>160</v>
      </c>
      <c r="F38" s="173" t="s">
        <v>226</v>
      </c>
      <c r="G38" s="173" t="s">
        <v>1252</v>
      </c>
      <c r="H38" s="173">
        <v>3</v>
      </c>
      <c r="I38" s="170" t="s">
        <v>276</v>
      </c>
      <c r="J38" s="18">
        <v>1.8</v>
      </c>
      <c r="K38" s="30">
        <v>3.1</v>
      </c>
      <c r="L38" s="18">
        <v>4.9000000000000004</v>
      </c>
      <c r="M38" s="168"/>
      <c r="N38" s="168"/>
    </row>
    <row r="39" spans="3:14" ht="15.75">
      <c r="C39" s="18">
        <f t="shared" si="0"/>
        <v>22</v>
      </c>
      <c r="D39" s="18" t="s">
        <v>71</v>
      </c>
      <c r="E39" s="173">
        <v>110</v>
      </c>
      <c r="F39" s="173" t="s">
        <v>241</v>
      </c>
      <c r="G39" s="173" t="s">
        <v>1253</v>
      </c>
      <c r="H39" s="173">
        <v>68.2</v>
      </c>
      <c r="I39" s="170" t="s">
        <v>276</v>
      </c>
      <c r="J39" s="18">
        <v>1.8</v>
      </c>
      <c r="K39" s="30">
        <v>3.1</v>
      </c>
      <c r="L39" s="18">
        <v>4.9000000000000004</v>
      </c>
      <c r="M39" s="168"/>
      <c r="N39" s="168"/>
    </row>
    <row r="40" spans="3:14" ht="15.75">
      <c r="C40" s="18">
        <f t="shared" si="0"/>
        <v>23</v>
      </c>
      <c r="D40" s="18" t="s">
        <v>71</v>
      </c>
      <c r="E40" s="173">
        <v>63</v>
      </c>
      <c r="F40" s="173" t="s">
        <v>1253</v>
      </c>
      <c r="G40" s="173" t="s">
        <v>1254</v>
      </c>
      <c r="H40" s="173">
        <v>37.700000000000003</v>
      </c>
      <c r="I40" s="170" t="s">
        <v>276</v>
      </c>
      <c r="J40" s="18">
        <v>1.8</v>
      </c>
      <c r="K40" s="30">
        <v>3.1</v>
      </c>
      <c r="L40" s="18">
        <v>4.9000000000000004</v>
      </c>
      <c r="M40" s="168"/>
      <c r="N40" s="168"/>
    </row>
    <row r="41" spans="3:14" ht="15.75">
      <c r="C41" s="18">
        <f t="shared" si="0"/>
        <v>24</v>
      </c>
      <c r="D41" s="18" t="s">
        <v>71</v>
      </c>
      <c r="E41" s="173">
        <v>110</v>
      </c>
      <c r="F41" s="173" t="s">
        <v>1253</v>
      </c>
      <c r="G41" s="173" t="s">
        <v>402</v>
      </c>
      <c r="H41" s="173">
        <v>45.1</v>
      </c>
      <c r="I41" s="170" t="s">
        <v>276</v>
      </c>
      <c r="J41" s="18">
        <v>1.8</v>
      </c>
      <c r="K41" s="30">
        <v>3.1</v>
      </c>
      <c r="L41" s="18">
        <v>4.9000000000000004</v>
      </c>
      <c r="M41" s="168"/>
      <c r="N41" s="168"/>
    </row>
    <row r="42" spans="3:14" ht="15.75">
      <c r="C42" s="18">
        <f t="shared" si="0"/>
        <v>25</v>
      </c>
      <c r="D42" s="18" t="s">
        <v>71</v>
      </c>
      <c r="E42" s="173">
        <v>63</v>
      </c>
      <c r="F42" s="173" t="s">
        <v>402</v>
      </c>
      <c r="G42" s="173" t="s">
        <v>533</v>
      </c>
      <c r="H42" s="173">
        <v>14.1</v>
      </c>
      <c r="I42" s="170" t="s">
        <v>276</v>
      </c>
      <c r="J42" s="18">
        <v>1.8</v>
      </c>
      <c r="K42" s="30">
        <v>3.1</v>
      </c>
      <c r="L42" s="18">
        <v>4.9000000000000004</v>
      </c>
      <c r="M42" s="168"/>
      <c r="N42" s="168"/>
    </row>
    <row r="43" spans="3:14" ht="15.75">
      <c r="C43" s="18">
        <f t="shared" si="0"/>
        <v>26</v>
      </c>
      <c r="D43" s="18" t="s">
        <v>71</v>
      </c>
      <c r="E43" s="173">
        <v>110</v>
      </c>
      <c r="F43" s="173" t="s">
        <v>402</v>
      </c>
      <c r="G43" s="173" t="s">
        <v>215</v>
      </c>
      <c r="H43" s="173">
        <v>93.5</v>
      </c>
      <c r="I43" s="170" t="s">
        <v>276</v>
      </c>
      <c r="J43" s="18">
        <v>1.8</v>
      </c>
      <c r="K43" s="30">
        <v>3.1</v>
      </c>
      <c r="L43" s="18">
        <v>4.9000000000000004</v>
      </c>
      <c r="M43" s="168"/>
      <c r="N43" s="168"/>
    </row>
    <row r="44" spans="3:14" ht="15.75">
      <c r="C44" s="18">
        <f t="shared" si="0"/>
        <v>27</v>
      </c>
      <c r="D44" s="18" t="s">
        <v>71</v>
      </c>
      <c r="E44" s="173">
        <v>110</v>
      </c>
      <c r="F44" s="173" t="s">
        <v>215</v>
      </c>
      <c r="G44" s="173" t="s">
        <v>220</v>
      </c>
      <c r="H44" s="173">
        <v>63</v>
      </c>
      <c r="I44" s="170" t="s">
        <v>276</v>
      </c>
      <c r="J44" s="18">
        <v>1.8</v>
      </c>
      <c r="K44" s="30">
        <v>3.1</v>
      </c>
      <c r="L44" s="18">
        <v>4.9000000000000004</v>
      </c>
      <c r="M44" s="168"/>
      <c r="N44" s="168"/>
    </row>
    <row r="45" spans="3:14" ht="15.75">
      <c r="C45" s="18">
        <f t="shared" si="0"/>
        <v>28</v>
      </c>
      <c r="D45" s="18" t="s">
        <v>71</v>
      </c>
      <c r="E45" s="173">
        <v>90</v>
      </c>
      <c r="F45" s="173" t="s">
        <v>220</v>
      </c>
      <c r="G45" s="173" t="s">
        <v>1127</v>
      </c>
      <c r="H45" s="173">
        <v>5.3</v>
      </c>
      <c r="I45" s="170" t="s">
        <v>276</v>
      </c>
      <c r="J45" s="18">
        <v>1.8</v>
      </c>
      <c r="K45" s="30">
        <v>3.1</v>
      </c>
      <c r="L45" s="18">
        <v>4.9000000000000004</v>
      </c>
      <c r="M45" s="168"/>
      <c r="N45" s="168"/>
    </row>
    <row r="46" spans="3:14" ht="15.75">
      <c r="C46" s="18">
        <f t="shared" si="0"/>
        <v>29</v>
      </c>
      <c r="D46" s="18" t="s">
        <v>71</v>
      </c>
      <c r="E46" s="173">
        <v>63</v>
      </c>
      <c r="F46" s="173" t="s">
        <v>1127</v>
      </c>
      <c r="G46" s="173" t="s">
        <v>297</v>
      </c>
      <c r="H46" s="173">
        <v>67.2</v>
      </c>
      <c r="I46" s="170" t="s">
        <v>276</v>
      </c>
      <c r="J46" s="18">
        <v>1.8</v>
      </c>
      <c r="K46" s="30">
        <v>3.1</v>
      </c>
      <c r="L46" s="18">
        <v>4.9000000000000004</v>
      </c>
      <c r="M46" s="168"/>
      <c r="N46" s="168"/>
    </row>
    <row r="47" spans="3:14" ht="15.75">
      <c r="C47" s="18">
        <f t="shared" si="0"/>
        <v>30</v>
      </c>
      <c r="D47" s="18" t="s">
        <v>71</v>
      </c>
      <c r="E47" s="173">
        <v>63</v>
      </c>
      <c r="F47" s="173" t="s">
        <v>1127</v>
      </c>
      <c r="G47" s="173" t="s">
        <v>297</v>
      </c>
      <c r="H47" s="173">
        <v>11.2</v>
      </c>
      <c r="I47" s="170" t="s">
        <v>276</v>
      </c>
      <c r="J47" s="18">
        <v>1.8</v>
      </c>
      <c r="K47" s="30">
        <v>3.1</v>
      </c>
      <c r="L47" s="18">
        <v>4.9000000000000004</v>
      </c>
      <c r="M47" s="168"/>
      <c r="N47" s="168"/>
    </row>
    <row r="48" spans="3:14" ht="15.75">
      <c r="C48" s="18">
        <f t="shared" si="0"/>
        <v>31</v>
      </c>
      <c r="D48" s="18" t="s">
        <v>71</v>
      </c>
      <c r="E48" s="173">
        <v>90</v>
      </c>
      <c r="F48" s="173" t="s">
        <v>1127</v>
      </c>
      <c r="G48" s="173" t="s">
        <v>1110</v>
      </c>
      <c r="H48" s="173">
        <v>139.1</v>
      </c>
      <c r="I48" s="170" t="s">
        <v>276</v>
      </c>
      <c r="J48" s="18">
        <v>1.8</v>
      </c>
      <c r="K48" s="30">
        <v>3.1</v>
      </c>
      <c r="L48" s="18">
        <v>4.9000000000000004</v>
      </c>
      <c r="M48" s="168"/>
      <c r="N48" s="168"/>
    </row>
    <row r="49" spans="3:14" ht="15.75">
      <c r="C49" s="18">
        <f t="shared" si="0"/>
        <v>32</v>
      </c>
      <c r="D49" s="18" t="s">
        <v>71</v>
      </c>
      <c r="E49" s="173">
        <v>90</v>
      </c>
      <c r="F49" s="173" t="s">
        <v>1127</v>
      </c>
      <c r="G49" s="173" t="s">
        <v>1110</v>
      </c>
      <c r="H49" s="173">
        <v>3</v>
      </c>
      <c r="I49" s="170" t="s">
        <v>276</v>
      </c>
      <c r="J49" s="18">
        <v>1.8</v>
      </c>
      <c r="K49" s="30">
        <v>3.1</v>
      </c>
      <c r="L49" s="18">
        <v>4.9000000000000004</v>
      </c>
      <c r="M49" s="168"/>
      <c r="N49" s="168"/>
    </row>
    <row r="50" spans="3:14">
      <c r="C50" s="374"/>
      <c r="D50" s="374"/>
      <c r="E50" s="374"/>
      <c r="F50" s="374"/>
      <c r="G50" s="374"/>
      <c r="H50" s="374"/>
      <c r="I50" s="374"/>
      <c r="J50" s="374"/>
      <c r="K50" s="374"/>
      <c r="L50" s="374"/>
      <c r="M50" s="374"/>
      <c r="N50" s="374"/>
    </row>
    <row r="51" spans="3:14">
      <c r="C51" s="324"/>
      <c r="D51" s="324"/>
      <c r="E51" s="325" t="s">
        <v>86</v>
      </c>
      <c r="F51" s="325"/>
      <c r="G51" s="325"/>
      <c r="H51" s="325"/>
      <c r="I51" s="325" t="s">
        <v>87</v>
      </c>
      <c r="J51" s="325"/>
      <c r="K51" s="325"/>
      <c r="L51" s="325" t="s">
        <v>39</v>
      </c>
      <c r="M51" s="325"/>
      <c r="N51" s="325"/>
    </row>
    <row r="52" spans="3:14">
      <c r="C52" s="295" t="s">
        <v>40</v>
      </c>
      <c r="D52" s="295"/>
      <c r="E52" s="317"/>
      <c r="F52" s="317"/>
      <c r="G52" s="317"/>
      <c r="H52" s="317"/>
      <c r="I52" s="317"/>
      <c r="J52" s="317"/>
      <c r="K52" s="317"/>
      <c r="L52" s="317"/>
      <c r="M52" s="317"/>
      <c r="N52" s="317"/>
    </row>
    <row r="53" spans="3:14">
      <c r="C53" s="295" t="s">
        <v>41</v>
      </c>
      <c r="D53" s="295"/>
      <c r="E53" s="317"/>
      <c r="F53" s="317"/>
      <c r="G53" s="317"/>
      <c r="H53" s="317"/>
      <c r="I53" s="317"/>
      <c r="J53" s="317"/>
      <c r="K53" s="317"/>
      <c r="L53" s="317"/>
      <c r="M53" s="317"/>
      <c r="N53" s="317"/>
    </row>
    <row r="54" spans="3:14">
      <c r="C54" s="295" t="s">
        <v>42</v>
      </c>
      <c r="D54" s="295"/>
      <c r="E54" s="317"/>
      <c r="F54" s="317"/>
      <c r="G54" s="317"/>
      <c r="H54" s="317"/>
      <c r="I54" s="317"/>
      <c r="J54" s="317"/>
      <c r="K54" s="317"/>
      <c r="L54" s="317"/>
      <c r="M54" s="317"/>
      <c r="N54" s="317"/>
    </row>
    <row r="55" spans="3:14">
      <c r="C55" s="295" t="s">
        <v>43</v>
      </c>
      <c r="D55" s="295"/>
      <c r="E55" s="315"/>
      <c r="F55" s="316"/>
      <c r="G55" s="316"/>
      <c r="H55" s="316"/>
      <c r="I55" s="317"/>
      <c r="J55" s="317"/>
      <c r="K55" s="317"/>
      <c r="L55" s="317"/>
      <c r="M55" s="317"/>
      <c r="N55" s="317"/>
    </row>
    <row r="57" spans="3:14" ht="15.75" thickBot="1"/>
    <row r="58" spans="3:14">
      <c r="C58" s="206"/>
      <c r="D58" s="211" t="s">
        <v>44</v>
      </c>
      <c r="E58" s="212"/>
      <c r="F58" s="212"/>
      <c r="G58" s="212"/>
      <c r="H58" s="212"/>
      <c r="I58" s="212"/>
      <c r="J58" s="212"/>
      <c r="K58" s="212"/>
      <c r="L58" s="20"/>
      <c r="M58" s="20"/>
      <c r="N58" s="21"/>
    </row>
    <row r="59" spans="3:14">
      <c r="C59" s="207"/>
      <c r="D59" s="214"/>
      <c r="E59" s="215"/>
      <c r="F59" s="215"/>
      <c r="G59" s="215"/>
      <c r="H59" s="215"/>
      <c r="I59" s="215"/>
      <c r="J59" s="215"/>
      <c r="K59" s="215"/>
      <c r="N59" s="22"/>
    </row>
    <row r="60" spans="3:14">
      <c r="C60" s="207"/>
      <c r="D60" s="214"/>
      <c r="E60" s="215"/>
      <c r="F60" s="215"/>
      <c r="G60" s="215"/>
      <c r="H60" s="215"/>
      <c r="I60" s="215"/>
      <c r="J60" s="215"/>
      <c r="K60" s="215"/>
      <c r="N60" s="22"/>
    </row>
    <row r="61" spans="3:14">
      <c r="C61" s="207"/>
      <c r="D61" s="289"/>
      <c r="E61" s="290"/>
      <c r="F61" s="290"/>
      <c r="G61" s="290"/>
      <c r="H61" s="290"/>
      <c r="I61" s="290"/>
      <c r="J61" s="290"/>
      <c r="K61" s="290"/>
      <c r="N61" s="22"/>
    </row>
    <row r="62" spans="3:14" ht="16.5">
      <c r="C62" s="223" t="s">
        <v>45</v>
      </c>
      <c r="D62" s="224"/>
      <c r="E62" s="165" t="s">
        <v>46</v>
      </c>
      <c r="F62" s="166"/>
      <c r="G62" s="166"/>
      <c r="H62" s="166"/>
      <c r="I62" s="166"/>
      <c r="J62" s="166"/>
      <c r="K62" s="166"/>
      <c r="L62" s="166"/>
      <c r="M62" s="166"/>
      <c r="N62" s="23"/>
    </row>
    <row r="63" spans="3:14" ht="16.5">
      <c r="C63" s="223" t="s">
        <v>48</v>
      </c>
      <c r="D63" s="224"/>
      <c r="E63" s="165" t="s">
        <v>49</v>
      </c>
      <c r="F63" s="166"/>
      <c r="G63" s="166"/>
      <c r="H63" s="166"/>
      <c r="I63" s="166"/>
      <c r="J63" s="166"/>
      <c r="K63" s="166"/>
      <c r="L63" s="166"/>
      <c r="M63" s="166"/>
      <c r="N63" s="23"/>
    </row>
    <row r="64" spans="3:14" ht="16.5">
      <c r="C64" s="225" t="s">
        <v>50</v>
      </c>
      <c r="D64" s="226"/>
      <c r="E64" s="165" t="s">
        <v>51</v>
      </c>
      <c r="F64" s="166"/>
      <c r="G64" s="166"/>
      <c r="H64" s="166"/>
      <c r="I64" s="166"/>
      <c r="J64" s="166"/>
      <c r="K64" s="166"/>
      <c r="L64" s="166"/>
      <c r="M64" s="166"/>
      <c r="N64" s="23"/>
    </row>
    <row r="65" spans="3:14" ht="16.5">
      <c r="C65" s="223" t="s">
        <v>52</v>
      </c>
      <c r="D65" s="224"/>
      <c r="E65" s="165" t="s">
        <v>53</v>
      </c>
      <c r="F65" s="166"/>
      <c r="G65" s="166"/>
      <c r="H65" s="166"/>
      <c r="I65" s="166"/>
      <c r="J65" s="166"/>
      <c r="K65" s="166"/>
      <c r="L65" s="166"/>
      <c r="M65" s="166"/>
      <c r="N65" s="23"/>
    </row>
    <row r="66" spans="3:14" ht="15.75">
      <c r="C66" s="227" t="s">
        <v>1249</v>
      </c>
      <c r="D66" s="228"/>
      <c r="E66" s="228"/>
      <c r="F66" s="228"/>
      <c r="G66" s="228"/>
      <c r="H66" s="228"/>
      <c r="I66" s="228"/>
      <c r="J66" s="228"/>
      <c r="K66" s="228"/>
      <c r="L66" s="228"/>
      <c r="M66" s="228"/>
      <c r="N66" s="229"/>
    </row>
    <row r="67" spans="3:14" ht="15.75">
      <c r="C67" s="11" t="s">
        <v>55</v>
      </c>
      <c r="E67" s="12"/>
      <c r="F67" s="12"/>
      <c r="G67" s="12"/>
      <c r="H67" s="12"/>
      <c r="I67" s="24" t="s">
        <v>56</v>
      </c>
      <c r="J67" s="25"/>
      <c r="K67" s="12"/>
      <c r="L67" s="12"/>
      <c r="M67" s="12"/>
      <c r="N67" s="26"/>
    </row>
    <row r="68" spans="3:14">
      <c r="C68" s="217"/>
      <c r="D68" s="218"/>
      <c r="E68" s="218"/>
      <c r="F68" s="218"/>
      <c r="G68" s="218"/>
      <c r="H68" s="218"/>
      <c r="I68" s="218"/>
      <c r="J68" s="218"/>
      <c r="K68" s="218"/>
      <c r="L68" s="218"/>
      <c r="M68" s="218"/>
      <c r="N68" s="219"/>
    </row>
    <row r="69" spans="3:14" ht="15.75">
      <c r="C69" s="167" t="s">
        <v>103</v>
      </c>
      <c r="D69" s="355"/>
      <c r="E69" s="356"/>
      <c r="F69" s="356"/>
      <c r="G69" s="356"/>
      <c r="H69" s="357"/>
      <c r="I69" s="368" t="s">
        <v>542</v>
      </c>
      <c r="J69" s="369"/>
      <c r="K69" s="369"/>
      <c r="L69" s="369"/>
      <c r="M69" s="369"/>
      <c r="N69" s="370"/>
    </row>
    <row r="70" spans="3:14">
      <c r="C70" s="329" t="s">
        <v>59</v>
      </c>
      <c r="D70" s="209" t="s">
        <v>60</v>
      </c>
      <c r="E70" s="209" t="s">
        <v>659</v>
      </c>
      <c r="F70" s="209" t="s">
        <v>62</v>
      </c>
      <c r="G70" s="209" t="s">
        <v>63</v>
      </c>
      <c r="H70" s="209" t="s">
        <v>64</v>
      </c>
      <c r="I70" s="209" t="s">
        <v>65</v>
      </c>
      <c r="J70" s="342" t="s">
        <v>66</v>
      </c>
      <c r="K70" s="343"/>
      <c r="L70" s="344"/>
      <c r="M70" s="209" t="s">
        <v>30</v>
      </c>
      <c r="N70" s="328" t="s">
        <v>67</v>
      </c>
    </row>
    <row r="71" spans="3:14" ht="60">
      <c r="C71" s="359"/>
      <c r="D71" s="292"/>
      <c r="E71" s="292"/>
      <c r="F71" s="292"/>
      <c r="G71" s="292"/>
      <c r="H71" s="292"/>
      <c r="I71" s="292"/>
      <c r="J71" s="169" t="s">
        <v>68</v>
      </c>
      <c r="K71" s="28" t="s">
        <v>999</v>
      </c>
      <c r="L71" s="169" t="s">
        <v>70</v>
      </c>
      <c r="M71" s="292"/>
      <c r="N71" s="360"/>
    </row>
    <row r="72" spans="3:14" ht="15.75">
      <c r="C72" s="18">
        <v>1</v>
      </c>
      <c r="D72" s="18" t="s">
        <v>71</v>
      </c>
      <c r="E72" s="173">
        <v>63</v>
      </c>
      <c r="F72" s="173" t="s">
        <v>1110</v>
      </c>
      <c r="G72" s="173" t="s">
        <v>785</v>
      </c>
      <c r="H72" s="173">
        <v>241.2</v>
      </c>
      <c r="I72" s="175" t="s">
        <v>276</v>
      </c>
      <c r="J72" s="18">
        <v>1.5</v>
      </c>
      <c r="K72" s="30">
        <v>3</v>
      </c>
      <c r="L72" s="18">
        <v>4.5</v>
      </c>
      <c r="M72" s="174"/>
      <c r="N72" s="174"/>
    </row>
    <row r="73" spans="3:14" ht="15.75">
      <c r="C73" s="18">
        <f>1+C72</f>
        <v>2</v>
      </c>
      <c r="D73" s="18" t="s">
        <v>71</v>
      </c>
      <c r="E73" s="173">
        <v>90</v>
      </c>
      <c r="F73" s="173" t="s">
        <v>220</v>
      </c>
      <c r="G73" s="173" t="s">
        <v>135</v>
      </c>
      <c r="H73" s="173">
        <v>115.9</v>
      </c>
      <c r="I73" s="175" t="s">
        <v>276</v>
      </c>
      <c r="J73" s="18">
        <v>1.5</v>
      </c>
      <c r="K73" s="30">
        <v>3</v>
      </c>
      <c r="L73" s="18">
        <v>4.5</v>
      </c>
      <c r="M73" s="174"/>
      <c r="N73" s="174"/>
    </row>
    <row r="74" spans="3:14" ht="15.75">
      <c r="C74" s="18">
        <f t="shared" ref="C74:C77" si="1">1+C73</f>
        <v>3</v>
      </c>
      <c r="D74" s="18" t="s">
        <v>71</v>
      </c>
      <c r="E74" s="173">
        <v>63</v>
      </c>
      <c r="F74" s="173" t="s">
        <v>135</v>
      </c>
      <c r="G74" s="173" t="s">
        <v>194</v>
      </c>
      <c r="H74" s="173">
        <f>166.1+3</f>
        <v>169.1</v>
      </c>
      <c r="I74" s="170" t="s">
        <v>276</v>
      </c>
      <c r="J74" s="18">
        <v>1.5</v>
      </c>
      <c r="K74" s="30">
        <v>3</v>
      </c>
      <c r="L74" s="18">
        <v>4.5</v>
      </c>
      <c r="M74" s="168"/>
      <c r="N74" s="168"/>
    </row>
    <row r="75" spans="3:14" ht="15.75">
      <c r="C75" s="18">
        <f t="shared" si="1"/>
        <v>4</v>
      </c>
      <c r="D75" s="18" t="s">
        <v>71</v>
      </c>
      <c r="E75" s="173">
        <v>63</v>
      </c>
      <c r="F75" s="173" t="s">
        <v>135</v>
      </c>
      <c r="G75" s="173" t="s">
        <v>202</v>
      </c>
      <c r="H75" s="173">
        <v>19.7</v>
      </c>
      <c r="I75" s="170" t="s">
        <v>276</v>
      </c>
      <c r="J75" s="18">
        <v>1.5</v>
      </c>
      <c r="K75" s="30">
        <v>3</v>
      </c>
      <c r="L75" s="18">
        <v>4.5</v>
      </c>
      <c r="M75" s="168"/>
      <c r="N75" s="168"/>
    </row>
    <row r="76" spans="3:14" ht="15.75">
      <c r="C76" s="18">
        <f t="shared" si="1"/>
        <v>5</v>
      </c>
      <c r="D76" s="18" t="s">
        <v>71</v>
      </c>
      <c r="E76" s="173">
        <v>63</v>
      </c>
      <c r="F76" s="173" t="s">
        <v>202</v>
      </c>
      <c r="G76" s="173" t="s">
        <v>84</v>
      </c>
      <c r="H76" s="173">
        <v>57.4</v>
      </c>
      <c r="I76" s="170" t="s">
        <v>276</v>
      </c>
      <c r="J76" s="18">
        <v>1.5</v>
      </c>
      <c r="K76" s="30">
        <v>3</v>
      </c>
      <c r="L76" s="18">
        <v>4.5</v>
      </c>
      <c r="M76" s="168"/>
      <c r="N76" s="168"/>
    </row>
    <row r="77" spans="3:14" ht="15.75">
      <c r="C77" s="18">
        <f t="shared" si="1"/>
        <v>6</v>
      </c>
      <c r="D77" s="18" t="s">
        <v>71</v>
      </c>
      <c r="E77" s="173">
        <v>63</v>
      </c>
      <c r="F77" s="173" t="s">
        <v>84</v>
      </c>
      <c r="G77" s="173" t="s">
        <v>386</v>
      </c>
      <c r="H77" s="173">
        <v>48.8</v>
      </c>
      <c r="I77" s="170" t="s">
        <v>276</v>
      </c>
      <c r="J77" s="18">
        <v>1.5</v>
      </c>
      <c r="K77" s="30">
        <v>3</v>
      </c>
      <c r="L77" s="18">
        <v>4.5</v>
      </c>
      <c r="M77" s="168"/>
      <c r="N77" s="168"/>
    </row>
    <row r="78" spans="3:14" ht="15.75">
      <c r="C78" s="18">
        <f t="shared" ref="C78:C108" si="2">1+C77</f>
        <v>7</v>
      </c>
      <c r="D78" s="18" t="s">
        <v>71</v>
      </c>
      <c r="E78" s="173">
        <v>63</v>
      </c>
      <c r="F78" s="173" t="s">
        <v>84</v>
      </c>
      <c r="G78" s="173" t="s">
        <v>318</v>
      </c>
      <c r="H78" s="173">
        <v>59.8</v>
      </c>
      <c r="I78" s="170" t="s">
        <v>276</v>
      </c>
      <c r="J78" s="18">
        <v>1.5</v>
      </c>
      <c r="K78" s="30">
        <v>3</v>
      </c>
      <c r="L78" s="18">
        <v>4.5</v>
      </c>
      <c r="M78" s="168"/>
      <c r="N78" s="168"/>
    </row>
    <row r="79" spans="3:14" ht="15.75">
      <c r="C79" s="18">
        <f t="shared" si="2"/>
        <v>8</v>
      </c>
      <c r="D79" s="18" t="s">
        <v>71</v>
      </c>
      <c r="E79" s="173">
        <v>63</v>
      </c>
      <c r="F79" s="173" t="s">
        <v>318</v>
      </c>
      <c r="G79" s="173" t="s">
        <v>1255</v>
      </c>
      <c r="H79" s="173">
        <v>2.7</v>
      </c>
      <c r="I79" s="170" t="s">
        <v>276</v>
      </c>
      <c r="J79" s="18">
        <v>1.5</v>
      </c>
      <c r="K79" s="30">
        <v>3</v>
      </c>
      <c r="L79" s="18">
        <v>4.5</v>
      </c>
      <c r="M79" s="168"/>
      <c r="N79" s="168"/>
    </row>
    <row r="80" spans="3:14" ht="15.75">
      <c r="C80" s="18">
        <f t="shared" si="2"/>
        <v>9</v>
      </c>
      <c r="D80" s="18" t="s">
        <v>71</v>
      </c>
      <c r="E80" s="173">
        <v>63</v>
      </c>
      <c r="F80" s="173" t="s">
        <v>1255</v>
      </c>
      <c r="G80" s="173" t="s">
        <v>210</v>
      </c>
      <c r="H80" s="173">
        <v>155.80000000000001</v>
      </c>
      <c r="I80" s="170" t="s">
        <v>276</v>
      </c>
      <c r="J80" s="18">
        <v>1.5</v>
      </c>
      <c r="K80" s="30">
        <v>3</v>
      </c>
      <c r="L80" s="18">
        <v>4.5</v>
      </c>
      <c r="M80" s="168"/>
      <c r="N80" s="168"/>
    </row>
    <row r="81" spans="3:14" ht="15.75">
      <c r="C81" s="18">
        <f t="shared" si="2"/>
        <v>10</v>
      </c>
      <c r="D81" s="18" t="s">
        <v>71</v>
      </c>
      <c r="E81" s="173">
        <v>63</v>
      </c>
      <c r="F81" s="173" t="s">
        <v>1255</v>
      </c>
      <c r="G81" s="173" t="s">
        <v>772</v>
      </c>
      <c r="H81" s="173">
        <v>470.2</v>
      </c>
      <c r="I81" s="170" t="s">
        <v>276</v>
      </c>
      <c r="J81" s="18">
        <v>1.5</v>
      </c>
      <c r="K81" s="30">
        <v>3</v>
      </c>
      <c r="L81" s="18">
        <v>4.5</v>
      </c>
      <c r="M81" s="168"/>
      <c r="N81" s="168"/>
    </row>
    <row r="82" spans="3:14" ht="15.75">
      <c r="C82" s="18">
        <f t="shared" si="2"/>
        <v>11</v>
      </c>
      <c r="D82" s="18" t="s">
        <v>71</v>
      </c>
      <c r="E82" s="173">
        <v>63</v>
      </c>
      <c r="F82" s="173" t="s">
        <v>774</v>
      </c>
      <c r="G82" s="173" t="s">
        <v>221</v>
      </c>
      <c r="H82" s="173">
        <f>141.8+5.2+74.1</f>
        <v>221.1</v>
      </c>
      <c r="I82" s="170" t="s">
        <v>276</v>
      </c>
      <c r="J82" s="18">
        <v>1.5</v>
      </c>
      <c r="K82" s="30">
        <v>3</v>
      </c>
      <c r="L82" s="18">
        <v>4.5</v>
      </c>
      <c r="M82" s="168"/>
      <c r="N82" s="168"/>
    </row>
    <row r="83" spans="3:14" ht="15.75">
      <c r="C83" s="18">
        <f t="shared" si="2"/>
        <v>12</v>
      </c>
      <c r="D83" s="18" t="s">
        <v>71</v>
      </c>
      <c r="E83" s="173">
        <v>63</v>
      </c>
      <c r="F83" s="173" t="s">
        <v>221</v>
      </c>
      <c r="G83" s="173" t="s">
        <v>236</v>
      </c>
      <c r="H83" s="173">
        <v>98.9</v>
      </c>
      <c r="I83" s="170" t="s">
        <v>276</v>
      </c>
      <c r="J83" s="18">
        <v>1.5</v>
      </c>
      <c r="K83" s="30">
        <v>3</v>
      </c>
      <c r="L83" s="18">
        <v>4.5</v>
      </c>
      <c r="M83" s="168"/>
      <c r="N83" s="168"/>
    </row>
    <row r="84" spans="3:14" ht="15.75">
      <c r="C84" s="18">
        <f t="shared" si="2"/>
        <v>13</v>
      </c>
      <c r="D84" s="18" t="s">
        <v>71</v>
      </c>
      <c r="E84" s="173">
        <v>63</v>
      </c>
      <c r="F84" s="173" t="s">
        <v>236</v>
      </c>
      <c r="G84" s="173" t="s">
        <v>1237</v>
      </c>
      <c r="H84" s="173">
        <v>11.2</v>
      </c>
      <c r="I84" s="170" t="s">
        <v>276</v>
      </c>
      <c r="J84" s="18">
        <v>1.5</v>
      </c>
      <c r="K84" s="30">
        <v>3</v>
      </c>
      <c r="L84" s="18">
        <v>4.5</v>
      </c>
      <c r="M84" s="168"/>
      <c r="N84" s="168"/>
    </row>
    <row r="85" spans="3:14" ht="15.75">
      <c r="C85" s="18">
        <f t="shared" si="2"/>
        <v>14</v>
      </c>
      <c r="D85" s="18" t="s">
        <v>71</v>
      </c>
      <c r="E85" s="173">
        <v>63</v>
      </c>
      <c r="F85" s="173" t="s">
        <v>236</v>
      </c>
      <c r="G85" s="173" t="s">
        <v>1237</v>
      </c>
      <c r="H85" s="173">
        <v>122.5</v>
      </c>
      <c r="I85" s="170" t="s">
        <v>276</v>
      </c>
      <c r="J85" s="18">
        <v>1.5</v>
      </c>
      <c r="K85" s="30">
        <v>3</v>
      </c>
      <c r="L85" s="18">
        <v>4.5</v>
      </c>
      <c r="M85" s="168"/>
      <c r="N85" s="168"/>
    </row>
    <row r="86" spans="3:14" ht="15.75">
      <c r="C86" s="18">
        <f t="shared" si="2"/>
        <v>15</v>
      </c>
      <c r="D86" s="18" t="s">
        <v>71</v>
      </c>
      <c r="E86" s="173">
        <v>63</v>
      </c>
      <c r="F86" s="173" t="s">
        <v>1237</v>
      </c>
      <c r="G86" s="173" t="s">
        <v>153</v>
      </c>
      <c r="H86" s="173">
        <f>109.8+10+14.9</f>
        <v>134.69999999999999</v>
      </c>
      <c r="I86" s="170" t="s">
        <v>276</v>
      </c>
      <c r="J86" s="18">
        <v>1.5</v>
      </c>
      <c r="K86" s="30">
        <v>3</v>
      </c>
      <c r="L86" s="18">
        <v>4.5</v>
      </c>
      <c r="M86" s="168"/>
      <c r="N86" s="168"/>
    </row>
    <row r="87" spans="3:14" ht="15.75">
      <c r="C87" s="18">
        <f t="shared" si="2"/>
        <v>16</v>
      </c>
      <c r="D87" s="18" t="s">
        <v>71</v>
      </c>
      <c r="E87" s="173">
        <v>63</v>
      </c>
      <c r="F87" s="173" t="s">
        <v>1237</v>
      </c>
      <c r="G87" s="173" t="s">
        <v>1256</v>
      </c>
      <c r="H87" s="173">
        <v>19.8</v>
      </c>
      <c r="I87" s="170" t="s">
        <v>276</v>
      </c>
      <c r="J87" s="18">
        <v>1.5</v>
      </c>
      <c r="K87" s="30">
        <v>3</v>
      </c>
      <c r="L87" s="18">
        <v>4.5</v>
      </c>
      <c r="M87" s="168"/>
      <c r="N87" s="168"/>
    </row>
    <row r="88" spans="3:14" ht="15.75">
      <c r="C88" s="18">
        <f t="shared" si="2"/>
        <v>17</v>
      </c>
      <c r="D88" s="18" t="s">
        <v>71</v>
      </c>
      <c r="E88" s="173">
        <v>125</v>
      </c>
      <c r="F88" s="173" t="s">
        <v>236</v>
      </c>
      <c r="G88" s="173" t="s">
        <v>504</v>
      </c>
      <c r="H88" s="173">
        <v>118.7</v>
      </c>
      <c r="I88" s="170" t="s">
        <v>276</v>
      </c>
      <c r="J88" s="18">
        <v>1.5</v>
      </c>
      <c r="K88" s="30">
        <v>3</v>
      </c>
      <c r="L88" s="18">
        <v>4.5</v>
      </c>
      <c r="M88" s="168"/>
      <c r="N88" s="168"/>
    </row>
    <row r="89" spans="3:14" ht="15.75">
      <c r="C89" s="18">
        <f t="shared" si="2"/>
        <v>18</v>
      </c>
      <c r="D89" s="18" t="s">
        <v>71</v>
      </c>
      <c r="E89" s="173">
        <v>125</v>
      </c>
      <c r="F89" s="173" t="s">
        <v>504</v>
      </c>
      <c r="G89" s="173" t="s">
        <v>149</v>
      </c>
      <c r="H89" s="173">
        <f>1.7+3</f>
        <v>4.7</v>
      </c>
      <c r="I89" s="170" t="s">
        <v>276</v>
      </c>
      <c r="J89" s="18">
        <v>1.5</v>
      </c>
      <c r="K89" s="30">
        <v>3</v>
      </c>
      <c r="L89" s="18">
        <v>4.5</v>
      </c>
      <c r="M89" s="168"/>
      <c r="N89" s="168"/>
    </row>
    <row r="90" spans="3:14" ht="15.75">
      <c r="C90" s="18">
        <f t="shared" si="2"/>
        <v>19</v>
      </c>
      <c r="D90" s="18" t="s">
        <v>71</v>
      </c>
      <c r="E90" s="173">
        <v>160</v>
      </c>
      <c r="F90" s="173" t="s">
        <v>504</v>
      </c>
      <c r="G90" s="173" t="s">
        <v>226</v>
      </c>
      <c r="H90" s="173">
        <v>129.1</v>
      </c>
      <c r="I90" s="170" t="s">
        <v>276</v>
      </c>
      <c r="J90" s="18">
        <v>1.5</v>
      </c>
      <c r="K90" s="30">
        <v>3</v>
      </c>
      <c r="L90" s="18">
        <v>4.5</v>
      </c>
      <c r="M90" s="168"/>
      <c r="N90" s="168"/>
    </row>
    <row r="91" spans="3:14" ht="15.75">
      <c r="C91" s="18">
        <f t="shared" si="2"/>
        <v>20</v>
      </c>
      <c r="D91" s="18" t="s">
        <v>71</v>
      </c>
      <c r="E91" s="173">
        <v>160</v>
      </c>
      <c r="F91" s="173" t="s">
        <v>504</v>
      </c>
      <c r="G91" s="173" t="s">
        <v>226</v>
      </c>
      <c r="H91" s="173">
        <v>4</v>
      </c>
      <c r="I91" s="170" t="s">
        <v>276</v>
      </c>
      <c r="J91" s="18">
        <v>1.5</v>
      </c>
      <c r="K91" s="30">
        <v>3</v>
      </c>
      <c r="L91" s="18">
        <v>4.5</v>
      </c>
      <c r="M91" s="168"/>
      <c r="N91" s="168"/>
    </row>
    <row r="92" spans="3:14" ht="15.75">
      <c r="C92" s="18">
        <f t="shared" si="2"/>
        <v>21</v>
      </c>
      <c r="D92" s="18" t="s">
        <v>71</v>
      </c>
      <c r="E92" s="173">
        <v>63</v>
      </c>
      <c r="F92" s="173" t="s">
        <v>241</v>
      </c>
      <c r="G92" s="173" t="s">
        <v>176</v>
      </c>
      <c r="H92" s="173">
        <f>3.1+31.1+15.4+7.6+7.3+8.6+3.2</f>
        <v>76.3</v>
      </c>
      <c r="I92" s="170" t="s">
        <v>276</v>
      </c>
      <c r="J92" s="18">
        <v>1.5</v>
      </c>
      <c r="K92" s="30">
        <v>3</v>
      </c>
      <c r="L92" s="18">
        <v>4.5</v>
      </c>
      <c r="M92" s="168"/>
      <c r="N92" s="168"/>
    </row>
    <row r="93" spans="3:14" ht="15.75">
      <c r="C93" s="18">
        <f t="shared" si="2"/>
        <v>22</v>
      </c>
      <c r="D93" s="18" t="s">
        <v>71</v>
      </c>
      <c r="E93" s="173">
        <v>63</v>
      </c>
      <c r="F93" s="173" t="s">
        <v>176</v>
      </c>
      <c r="G93" s="173" t="s">
        <v>203</v>
      </c>
      <c r="H93" s="173">
        <f>43.2+6.9</f>
        <v>50.1</v>
      </c>
      <c r="I93" s="170" t="s">
        <v>276</v>
      </c>
      <c r="J93" s="18">
        <v>1.5</v>
      </c>
      <c r="K93" s="30">
        <v>3</v>
      </c>
      <c r="L93" s="18">
        <v>4.5</v>
      </c>
      <c r="M93" s="168"/>
      <c r="N93" s="168"/>
    </row>
    <row r="94" spans="3:14" ht="15.75">
      <c r="C94" s="18">
        <f t="shared" si="2"/>
        <v>23</v>
      </c>
      <c r="D94" s="18" t="s">
        <v>71</v>
      </c>
      <c r="E94" s="173">
        <v>63</v>
      </c>
      <c r="F94" s="173" t="s">
        <v>176</v>
      </c>
      <c r="G94" s="173" t="s">
        <v>247</v>
      </c>
      <c r="H94" s="173">
        <f>61.1+41.9+37.9</f>
        <v>140.9</v>
      </c>
      <c r="I94" s="170" t="s">
        <v>276</v>
      </c>
      <c r="J94" s="18">
        <v>1.5</v>
      </c>
      <c r="K94" s="30">
        <v>3</v>
      </c>
      <c r="L94" s="18">
        <v>4.5</v>
      </c>
      <c r="M94" s="168"/>
      <c r="N94" s="168"/>
    </row>
    <row r="95" spans="3:14" ht="15.75">
      <c r="C95" s="18">
        <f t="shared" si="2"/>
        <v>24</v>
      </c>
      <c r="D95" s="18" t="s">
        <v>71</v>
      </c>
      <c r="E95" s="173">
        <v>63</v>
      </c>
      <c r="F95" s="173" t="s">
        <v>215</v>
      </c>
      <c r="G95" s="173" t="s">
        <v>247</v>
      </c>
      <c r="H95" s="173">
        <f>108.1+1.8</f>
        <v>109.89999999999999</v>
      </c>
      <c r="I95" s="170" t="s">
        <v>276</v>
      </c>
      <c r="J95" s="18">
        <v>1.5</v>
      </c>
      <c r="K95" s="30">
        <v>3</v>
      </c>
      <c r="L95" s="18">
        <v>4.5</v>
      </c>
      <c r="M95" s="168"/>
      <c r="N95" s="168"/>
    </row>
    <row r="96" spans="3:14" ht="15.75">
      <c r="C96" s="18">
        <f t="shared" si="2"/>
        <v>25</v>
      </c>
      <c r="D96" s="18" t="s">
        <v>71</v>
      </c>
      <c r="E96" s="173">
        <v>63</v>
      </c>
      <c r="F96" s="173" t="s">
        <v>247</v>
      </c>
      <c r="G96" s="173" t="s">
        <v>199</v>
      </c>
      <c r="H96" s="173">
        <f>17.3+25.1+15.2+2.5</f>
        <v>60.100000000000009</v>
      </c>
      <c r="I96" s="170" t="s">
        <v>276</v>
      </c>
      <c r="J96" s="18">
        <v>1.5</v>
      </c>
      <c r="K96" s="30">
        <v>3</v>
      </c>
      <c r="L96" s="18">
        <v>4.5</v>
      </c>
      <c r="M96" s="168"/>
      <c r="N96" s="168"/>
    </row>
    <row r="97" spans="3:14" ht="15.75">
      <c r="C97" s="18">
        <f t="shared" si="2"/>
        <v>26</v>
      </c>
      <c r="D97" s="18" t="s">
        <v>71</v>
      </c>
      <c r="E97" s="173">
        <v>63</v>
      </c>
      <c r="F97" s="173" t="s">
        <v>199</v>
      </c>
      <c r="G97" s="173" t="s">
        <v>180</v>
      </c>
      <c r="H97" s="173">
        <v>33.4</v>
      </c>
      <c r="I97" s="170" t="s">
        <v>276</v>
      </c>
      <c r="J97" s="18">
        <v>1.5</v>
      </c>
      <c r="K97" s="30">
        <v>3</v>
      </c>
      <c r="L97" s="18">
        <v>4.5</v>
      </c>
      <c r="M97" s="168"/>
      <c r="N97" s="168"/>
    </row>
    <row r="98" spans="3:14" ht="15.75">
      <c r="C98" s="18">
        <f t="shared" si="2"/>
        <v>27</v>
      </c>
      <c r="D98" s="18" t="s">
        <v>71</v>
      </c>
      <c r="E98" s="173">
        <v>63</v>
      </c>
      <c r="F98" s="173" t="s">
        <v>180</v>
      </c>
      <c r="G98" s="173" t="s">
        <v>202</v>
      </c>
      <c r="H98" s="173">
        <v>7.4</v>
      </c>
      <c r="I98" s="170" t="s">
        <v>276</v>
      </c>
      <c r="J98" s="18">
        <v>1.5</v>
      </c>
      <c r="K98" s="30">
        <v>3</v>
      </c>
      <c r="L98" s="18">
        <v>4.5</v>
      </c>
      <c r="M98" s="168"/>
      <c r="N98" s="168"/>
    </row>
    <row r="99" spans="3:14" ht="15.75">
      <c r="C99" s="18">
        <f t="shared" si="2"/>
        <v>28</v>
      </c>
      <c r="D99" s="18" t="s">
        <v>71</v>
      </c>
      <c r="E99" s="173">
        <v>63</v>
      </c>
      <c r="F99" s="173" t="s">
        <v>180</v>
      </c>
      <c r="G99" s="173" t="s">
        <v>202</v>
      </c>
      <c r="H99" s="173">
        <v>49.6</v>
      </c>
      <c r="I99" s="170" t="s">
        <v>276</v>
      </c>
      <c r="J99" s="18">
        <v>1.5</v>
      </c>
      <c r="K99" s="30">
        <v>3</v>
      </c>
      <c r="L99" s="18">
        <v>4.5</v>
      </c>
      <c r="M99" s="168"/>
      <c r="N99" s="168"/>
    </row>
    <row r="100" spans="3:14" ht="15.75">
      <c r="C100" s="18">
        <f t="shared" si="2"/>
        <v>29</v>
      </c>
      <c r="D100" s="18" t="s">
        <v>71</v>
      </c>
      <c r="E100" s="173">
        <v>63</v>
      </c>
      <c r="F100" s="173" t="s">
        <v>180</v>
      </c>
      <c r="G100" s="173" t="s">
        <v>244</v>
      </c>
      <c r="H100" s="173">
        <f>62.8+2.4</f>
        <v>65.2</v>
      </c>
      <c r="I100" s="170" t="s">
        <v>276</v>
      </c>
      <c r="J100" s="18">
        <v>1.5</v>
      </c>
      <c r="K100" s="30">
        <v>3</v>
      </c>
      <c r="L100" s="18">
        <v>4.5</v>
      </c>
      <c r="M100" s="168"/>
      <c r="N100" s="168"/>
    </row>
    <row r="101" spans="3:14" ht="15.75">
      <c r="C101" s="18">
        <f t="shared" si="2"/>
        <v>30</v>
      </c>
      <c r="D101" s="18" t="s">
        <v>71</v>
      </c>
      <c r="E101" s="173">
        <v>63</v>
      </c>
      <c r="F101" s="173" t="s">
        <v>244</v>
      </c>
      <c r="G101" s="173" t="s">
        <v>1015</v>
      </c>
      <c r="H101" s="173">
        <v>11.4</v>
      </c>
      <c r="I101" s="170" t="s">
        <v>276</v>
      </c>
      <c r="J101" s="18">
        <v>1.5</v>
      </c>
      <c r="K101" s="30">
        <v>3</v>
      </c>
      <c r="L101" s="18">
        <v>4.5</v>
      </c>
      <c r="M101" s="168"/>
      <c r="N101" s="168"/>
    </row>
    <row r="102" spans="3:14" ht="15.75">
      <c r="C102" s="18">
        <f t="shared" si="2"/>
        <v>31</v>
      </c>
      <c r="D102" s="18" t="s">
        <v>71</v>
      </c>
      <c r="E102" s="173">
        <v>63</v>
      </c>
      <c r="F102" s="173" t="s">
        <v>244</v>
      </c>
      <c r="G102" s="173" t="s">
        <v>1016</v>
      </c>
      <c r="H102" s="173">
        <v>15.5</v>
      </c>
      <c r="I102" s="170" t="s">
        <v>276</v>
      </c>
      <c r="J102" s="18">
        <v>1.5</v>
      </c>
      <c r="K102" s="30">
        <v>3</v>
      </c>
      <c r="L102" s="18">
        <v>4.5</v>
      </c>
      <c r="M102" s="168"/>
      <c r="N102" s="168"/>
    </row>
    <row r="103" spans="3:14" ht="15.75">
      <c r="C103" s="18">
        <f t="shared" si="2"/>
        <v>32</v>
      </c>
      <c r="D103" s="18" t="s">
        <v>71</v>
      </c>
      <c r="E103" s="173">
        <v>63</v>
      </c>
      <c r="F103" s="173" t="s">
        <v>199</v>
      </c>
      <c r="G103" s="173" t="s">
        <v>245</v>
      </c>
      <c r="H103" s="173">
        <f>46.6+11.8+42.2</f>
        <v>100.60000000000001</v>
      </c>
      <c r="I103" s="170" t="s">
        <v>276</v>
      </c>
      <c r="J103" s="18">
        <v>1.5</v>
      </c>
      <c r="K103" s="30">
        <v>3</v>
      </c>
      <c r="L103" s="18">
        <v>4.5</v>
      </c>
      <c r="M103" s="168"/>
      <c r="N103" s="168"/>
    </row>
    <row r="104" spans="3:14" ht="15.75">
      <c r="C104" s="18">
        <f t="shared" si="2"/>
        <v>33</v>
      </c>
      <c r="D104" s="18" t="s">
        <v>71</v>
      </c>
      <c r="E104" s="173">
        <v>63</v>
      </c>
      <c r="F104" s="173" t="s">
        <v>245</v>
      </c>
      <c r="G104" s="173" t="s">
        <v>203</v>
      </c>
      <c r="H104" s="173">
        <v>58.7</v>
      </c>
      <c r="I104" s="170" t="s">
        <v>276</v>
      </c>
      <c r="J104" s="18">
        <v>1.5</v>
      </c>
      <c r="K104" s="30">
        <v>3</v>
      </c>
      <c r="L104" s="18">
        <v>4.5</v>
      </c>
      <c r="M104" s="168"/>
      <c r="N104" s="168"/>
    </row>
    <row r="105" spans="3:14" ht="15.75">
      <c r="C105" s="18">
        <f t="shared" si="2"/>
        <v>34</v>
      </c>
      <c r="D105" s="18" t="s">
        <v>71</v>
      </c>
      <c r="E105" s="173">
        <v>63</v>
      </c>
      <c r="F105" s="173" t="s">
        <v>203</v>
      </c>
      <c r="G105" s="173" t="s">
        <v>1257</v>
      </c>
      <c r="H105" s="173">
        <v>11.3</v>
      </c>
      <c r="I105" s="170" t="s">
        <v>276</v>
      </c>
      <c r="J105" s="18">
        <v>1.5</v>
      </c>
      <c r="K105" s="30">
        <v>3</v>
      </c>
      <c r="L105" s="18">
        <v>4.5</v>
      </c>
      <c r="M105" s="168"/>
      <c r="N105" s="168"/>
    </row>
    <row r="106" spans="3:14" ht="15.75">
      <c r="C106" s="18">
        <f t="shared" si="2"/>
        <v>35</v>
      </c>
      <c r="D106" s="18" t="s">
        <v>71</v>
      </c>
      <c r="E106" s="173">
        <v>63</v>
      </c>
      <c r="F106" s="173" t="s">
        <v>149</v>
      </c>
      <c r="G106" s="173" t="s">
        <v>1257</v>
      </c>
      <c r="H106" s="173">
        <v>21.6</v>
      </c>
      <c r="I106" s="170" t="s">
        <v>276</v>
      </c>
      <c r="J106" s="18">
        <v>1.5</v>
      </c>
      <c r="K106" s="30">
        <v>3</v>
      </c>
      <c r="L106" s="18">
        <v>4.5</v>
      </c>
      <c r="M106" s="168"/>
      <c r="N106" s="168"/>
    </row>
    <row r="107" spans="3:14" ht="15.75">
      <c r="C107" s="18">
        <f t="shared" si="2"/>
        <v>36</v>
      </c>
      <c r="D107" s="18" t="s">
        <v>71</v>
      </c>
      <c r="E107" s="173">
        <v>63</v>
      </c>
      <c r="F107" s="173" t="s">
        <v>149</v>
      </c>
      <c r="G107" s="173" t="s">
        <v>1258</v>
      </c>
      <c r="H107" s="173">
        <v>43.3</v>
      </c>
      <c r="I107" s="170" t="s">
        <v>276</v>
      </c>
      <c r="J107" s="18">
        <v>1.5</v>
      </c>
      <c r="K107" s="30">
        <v>3</v>
      </c>
      <c r="L107" s="18">
        <v>4.5</v>
      </c>
      <c r="M107" s="168"/>
      <c r="N107" s="168"/>
    </row>
    <row r="108" spans="3:14" ht="15.75">
      <c r="C108" s="18">
        <f t="shared" si="2"/>
        <v>37</v>
      </c>
      <c r="D108" s="18" t="s">
        <v>71</v>
      </c>
      <c r="E108" s="173">
        <v>63</v>
      </c>
      <c r="F108" s="173" t="s">
        <v>149</v>
      </c>
      <c r="G108" s="173" t="s">
        <v>1259</v>
      </c>
      <c r="H108" s="173">
        <v>114.9</v>
      </c>
      <c r="I108" s="170" t="s">
        <v>276</v>
      </c>
      <c r="J108" s="18">
        <v>1.5</v>
      </c>
      <c r="K108" s="30">
        <v>3</v>
      </c>
      <c r="L108" s="18">
        <v>4.5</v>
      </c>
      <c r="M108" s="168"/>
      <c r="N108" s="168"/>
    </row>
    <row r="109" spans="3:14">
      <c r="C109" s="18"/>
      <c r="D109" s="18"/>
      <c r="E109" s="170"/>
      <c r="F109" s="170"/>
      <c r="G109" s="170"/>
      <c r="H109" s="170"/>
      <c r="I109" s="170"/>
      <c r="J109" s="18"/>
      <c r="K109" s="30"/>
      <c r="L109" s="18"/>
      <c r="M109" s="168"/>
      <c r="N109" s="168"/>
    </row>
    <row r="110" spans="3:14">
      <c r="C110" s="374"/>
      <c r="D110" s="374"/>
      <c r="E110" s="374"/>
      <c r="F110" s="374"/>
      <c r="G110" s="374"/>
      <c r="H110" s="374"/>
      <c r="I110" s="374"/>
      <c r="J110" s="374"/>
      <c r="K110" s="374"/>
      <c r="L110" s="374"/>
      <c r="M110" s="374"/>
      <c r="N110" s="374"/>
    </row>
    <row r="111" spans="3:14">
      <c r="C111" s="324"/>
      <c r="D111" s="324"/>
      <c r="E111" s="325" t="s">
        <v>86</v>
      </c>
      <c r="F111" s="325"/>
      <c r="G111" s="325"/>
      <c r="H111" s="325"/>
      <c r="I111" s="325" t="s">
        <v>87</v>
      </c>
      <c r="J111" s="325"/>
      <c r="K111" s="325"/>
      <c r="L111" s="325" t="s">
        <v>39</v>
      </c>
      <c r="M111" s="325"/>
      <c r="N111" s="325"/>
    </row>
    <row r="112" spans="3:14">
      <c r="C112" s="295" t="s">
        <v>40</v>
      </c>
      <c r="D112" s="295"/>
      <c r="E112" s="317"/>
      <c r="F112" s="317"/>
      <c r="G112" s="317"/>
      <c r="H112" s="317"/>
      <c r="I112" s="317"/>
      <c r="J112" s="317"/>
      <c r="K112" s="317"/>
      <c r="L112" s="317"/>
      <c r="M112" s="317"/>
      <c r="N112" s="317"/>
    </row>
    <row r="113" spans="3:14">
      <c r="C113" s="295" t="s">
        <v>41</v>
      </c>
      <c r="D113" s="295"/>
      <c r="E113" s="317"/>
      <c r="F113" s="317"/>
      <c r="G113" s="317"/>
      <c r="H113" s="317"/>
      <c r="I113" s="317"/>
      <c r="J113" s="317"/>
      <c r="K113" s="317"/>
      <c r="L113" s="317"/>
      <c r="M113" s="317"/>
      <c r="N113" s="317"/>
    </row>
    <row r="114" spans="3:14">
      <c r="C114" s="295" t="s">
        <v>42</v>
      </c>
      <c r="D114" s="295"/>
      <c r="E114" s="317"/>
      <c r="F114" s="317"/>
      <c r="G114" s="317"/>
      <c r="H114" s="317"/>
      <c r="I114" s="317"/>
      <c r="J114" s="317"/>
      <c r="K114" s="317"/>
      <c r="L114" s="317"/>
      <c r="M114" s="317"/>
      <c r="N114" s="317"/>
    </row>
    <row r="115" spans="3:14">
      <c r="C115" s="295" t="s">
        <v>43</v>
      </c>
      <c r="D115" s="295"/>
      <c r="E115" s="315"/>
      <c r="F115" s="316"/>
      <c r="G115" s="316"/>
      <c r="H115" s="316"/>
      <c r="I115" s="317"/>
      <c r="J115" s="317"/>
      <c r="K115" s="317"/>
      <c r="L115" s="317"/>
      <c r="M115" s="317"/>
      <c r="N115" s="317"/>
    </row>
    <row r="117" spans="3:14" ht="15.75" thickBot="1"/>
    <row r="118" spans="3:14">
      <c r="C118" s="206"/>
      <c r="D118" s="211" t="s">
        <v>44</v>
      </c>
      <c r="E118" s="212"/>
      <c r="F118" s="212"/>
      <c r="G118" s="212"/>
      <c r="H118" s="212"/>
      <c r="I118" s="212"/>
      <c r="J118" s="212"/>
      <c r="K118" s="212"/>
      <c r="L118" s="20"/>
      <c r="M118" s="20"/>
      <c r="N118" s="21"/>
    </row>
    <row r="119" spans="3:14">
      <c r="C119" s="207"/>
      <c r="D119" s="214"/>
      <c r="E119" s="215"/>
      <c r="F119" s="215"/>
      <c r="G119" s="215"/>
      <c r="H119" s="215"/>
      <c r="I119" s="215"/>
      <c r="J119" s="215"/>
      <c r="K119" s="215"/>
      <c r="N119" s="22"/>
    </row>
    <row r="120" spans="3:14">
      <c r="C120" s="207"/>
      <c r="D120" s="214"/>
      <c r="E120" s="215"/>
      <c r="F120" s="215"/>
      <c r="G120" s="215"/>
      <c r="H120" s="215"/>
      <c r="I120" s="215"/>
      <c r="J120" s="215"/>
      <c r="K120" s="215"/>
      <c r="N120" s="22"/>
    </row>
    <row r="121" spans="3:14">
      <c r="C121" s="207"/>
      <c r="D121" s="289"/>
      <c r="E121" s="290"/>
      <c r="F121" s="290"/>
      <c r="G121" s="290"/>
      <c r="H121" s="290"/>
      <c r="I121" s="290"/>
      <c r="J121" s="290"/>
      <c r="K121" s="290"/>
      <c r="N121" s="22"/>
    </row>
    <row r="122" spans="3:14" ht="16.5">
      <c r="C122" s="223" t="s">
        <v>45</v>
      </c>
      <c r="D122" s="224"/>
      <c r="E122" s="165" t="s">
        <v>46</v>
      </c>
      <c r="F122" s="166"/>
      <c r="G122" s="166"/>
      <c r="H122" s="166"/>
      <c r="I122" s="166"/>
      <c r="J122" s="166"/>
      <c r="K122" s="166"/>
      <c r="L122" s="166"/>
      <c r="M122" s="166"/>
      <c r="N122" s="23"/>
    </row>
    <row r="123" spans="3:14" ht="16.5">
      <c r="C123" s="223" t="s">
        <v>48</v>
      </c>
      <c r="D123" s="224"/>
      <c r="E123" s="165" t="s">
        <v>49</v>
      </c>
      <c r="F123" s="166"/>
      <c r="G123" s="166"/>
      <c r="H123" s="166"/>
      <c r="I123" s="166"/>
      <c r="J123" s="166"/>
      <c r="K123" s="166"/>
      <c r="L123" s="166"/>
      <c r="M123" s="166"/>
      <c r="N123" s="23"/>
    </row>
    <row r="124" spans="3:14" ht="16.5">
      <c r="C124" s="225" t="s">
        <v>50</v>
      </c>
      <c r="D124" s="226"/>
      <c r="E124" s="165" t="s">
        <v>51</v>
      </c>
      <c r="F124" s="166"/>
      <c r="G124" s="166"/>
      <c r="H124" s="166"/>
      <c r="I124" s="166"/>
      <c r="J124" s="166"/>
      <c r="K124" s="166"/>
      <c r="L124" s="166"/>
      <c r="M124" s="166"/>
      <c r="N124" s="23"/>
    </row>
    <row r="125" spans="3:14" ht="16.5">
      <c r="C125" s="223" t="s">
        <v>52</v>
      </c>
      <c r="D125" s="224"/>
      <c r="E125" s="165" t="s">
        <v>53</v>
      </c>
      <c r="F125" s="166"/>
      <c r="G125" s="166"/>
      <c r="H125" s="166"/>
      <c r="I125" s="166"/>
      <c r="J125" s="166"/>
      <c r="K125" s="166"/>
      <c r="L125" s="166"/>
      <c r="M125" s="166"/>
      <c r="N125" s="23"/>
    </row>
    <row r="126" spans="3:14" ht="15.75">
      <c r="C126" s="227" t="s">
        <v>1249</v>
      </c>
      <c r="D126" s="228"/>
      <c r="E126" s="228"/>
      <c r="F126" s="228"/>
      <c r="G126" s="228"/>
      <c r="H126" s="228"/>
      <c r="I126" s="228"/>
      <c r="J126" s="228"/>
      <c r="K126" s="228"/>
      <c r="L126" s="228"/>
      <c r="M126" s="228"/>
      <c r="N126" s="229"/>
    </row>
    <row r="127" spans="3:14" ht="15.75">
      <c r="C127" s="11" t="s">
        <v>55</v>
      </c>
      <c r="E127" s="12"/>
      <c r="F127" s="12"/>
      <c r="G127" s="12"/>
      <c r="H127" s="12"/>
      <c r="I127" s="24" t="s">
        <v>56</v>
      </c>
      <c r="J127" s="25"/>
      <c r="K127" s="12"/>
      <c r="L127" s="12"/>
      <c r="M127" s="12"/>
      <c r="N127" s="26"/>
    </row>
    <row r="128" spans="3:14">
      <c r="C128" s="217"/>
      <c r="D128" s="218"/>
      <c r="E128" s="218"/>
      <c r="F128" s="218"/>
      <c r="G128" s="218"/>
      <c r="H128" s="218"/>
      <c r="I128" s="218"/>
      <c r="J128" s="218"/>
      <c r="K128" s="218"/>
      <c r="L128" s="218"/>
      <c r="M128" s="218"/>
      <c r="N128" s="219"/>
    </row>
    <row r="129" spans="3:14" ht="15.75">
      <c r="C129" s="167" t="s">
        <v>103</v>
      </c>
      <c r="D129" s="355"/>
      <c r="E129" s="356"/>
      <c r="F129" s="356"/>
      <c r="G129" s="356"/>
      <c r="H129" s="357"/>
      <c r="I129" s="368" t="s">
        <v>542</v>
      </c>
      <c r="J129" s="369"/>
      <c r="K129" s="369"/>
      <c r="L129" s="369"/>
      <c r="M129" s="369"/>
      <c r="N129" s="370"/>
    </row>
    <row r="130" spans="3:14">
      <c r="C130" s="329" t="s">
        <v>59</v>
      </c>
      <c r="D130" s="209" t="s">
        <v>60</v>
      </c>
      <c r="E130" s="209" t="s">
        <v>659</v>
      </c>
      <c r="F130" s="209" t="s">
        <v>62</v>
      </c>
      <c r="G130" s="209" t="s">
        <v>63</v>
      </c>
      <c r="H130" s="209" t="s">
        <v>64</v>
      </c>
      <c r="I130" s="209" t="s">
        <v>65</v>
      </c>
      <c r="J130" s="342" t="s">
        <v>66</v>
      </c>
      <c r="K130" s="343"/>
      <c r="L130" s="344"/>
      <c r="M130" s="209" t="s">
        <v>30</v>
      </c>
      <c r="N130" s="328" t="s">
        <v>67</v>
      </c>
    </row>
    <row r="131" spans="3:14" ht="60">
      <c r="C131" s="359"/>
      <c r="D131" s="292"/>
      <c r="E131" s="292"/>
      <c r="F131" s="292"/>
      <c r="G131" s="292"/>
      <c r="H131" s="292"/>
      <c r="I131" s="292"/>
      <c r="J131" s="169" t="s">
        <v>68</v>
      </c>
      <c r="K131" s="28" t="s">
        <v>999</v>
      </c>
      <c r="L131" s="169" t="s">
        <v>70</v>
      </c>
      <c r="M131" s="292"/>
      <c r="N131" s="360"/>
    </row>
    <row r="132" spans="3:14" ht="15.75">
      <c r="C132" s="184">
        <v>1</v>
      </c>
      <c r="D132" s="18" t="s">
        <v>71</v>
      </c>
      <c r="E132" s="173">
        <v>63</v>
      </c>
      <c r="F132" s="173" t="s">
        <v>1259</v>
      </c>
      <c r="G132" s="173" t="s">
        <v>1260</v>
      </c>
      <c r="H132" s="173">
        <v>42.1</v>
      </c>
      <c r="I132" s="175" t="s">
        <v>106</v>
      </c>
      <c r="J132" s="18">
        <v>1.1000000000000001</v>
      </c>
      <c r="K132" s="30">
        <v>3.2</v>
      </c>
      <c r="L132" s="18">
        <v>4.3</v>
      </c>
      <c r="M132" s="174"/>
      <c r="N132" s="174"/>
    </row>
    <row r="133" spans="3:14" ht="15.75">
      <c r="C133" s="184">
        <f>1+C132</f>
        <v>2</v>
      </c>
      <c r="D133" s="18" t="s">
        <v>71</v>
      </c>
      <c r="E133" s="173">
        <v>63</v>
      </c>
      <c r="F133" s="173" t="s">
        <v>1259</v>
      </c>
      <c r="G133" s="173" t="s">
        <v>1261</v>
      </c>
      <c r="H133" s="173">
        <v>30.1</v>
      </c>
      <c r="I133" s="175" t="s">
        <v>106</v>
      </c>
      <c r="J133" s="18">
        <v>1.1000000000000001</v>
      </c>
      <c r="K133" s="30">
        <v>3.2</v>
      </c>
      <c r="L133" s="18">
        <v>4.3</v>
      </c>
      <c r="M133" s="174"/>
      <c r="N133" s="174"/>
    </row>
    <row r="134" spans="3:14" ht="15.75">
      <c r="C134" s="184">
        <f t="shared" ref="C134:C140" si="3">1+C133</f>
        <v>3</v>
      </c>
      <c r="D134" s="18" t="s">
        <v>71</v>
      </c>
      <c r="E134" s="173">
        <v>63</v>
      </c>
      <c r="F134" s="173" t="s">
        <v>1261</v>
      </c>
      <c r="G134" s="173" t="s">
        <v>425</v>
      </c>
      <c r="H134" s="173">
        <v>28.9</v>
      </c>
      <c r="I134" s="175" t="s">
        <v>106</v>
      </c>
      <c r="J134" s="18">
        <v>1.1000000000000001</v>
      </c>
      <c r="K134" s="30">
        <v>3.2</v>
      </c>
      <c r="L134" s="18">
        <v>4.3</v>
      </c>
      <c r="M134" s="174"/>
      <c r="N134" s="174"/>
    </row>
    <row r="135" spans="3:14" ht="15.75">
      <c r="C135" s="184">
        <f t="shared" si="3"/>
        <v>4</v>
      </c>
      <c r="D135" s="18" t="s">
        <v>71</v>
      </c>
      <c r="E135" s="173">
        <v>63</v>
      </c>
      <c r="F135" s="173" t="s">
        <v>1261</v>
      </c>
      <c r="G135" s="173" t="s">
        <v>149</v>
      </c>
      <c r="H135" s="173">
        <v>25.4</v>
      </c>
      <c r="I135" s="175" t="s">
        <v>106</v>
      </c>
      <c r="J135" s="18">
        <v>1.1000000000000001</v>
      </c>
      <c r="K135" s="30">
        <v>3.2</v>
      </c>
      <c r="L135" s="18">
        <v>4.3</v>
      </c>
      <c r="M135" s="174"/>
      <c r="N135" s="174"/>
    </row>
    <row r="136" spans="3:14" ht="15.75">
      <c r="C136" s="184">
        <f t="shared" si="3"/>
        <v>5</v>
      </c>
      <c r="D136" s="18" t="s">
        <v>71</v>
      </c>
      <c r="E136" s="173">
        <v>63</v>
      </c>
      <c r="F136" s="173" t="s">
        <v>203</v>
      </c>
      <c r="G136" s="173" t="s">
        <v>142</v>
      </c>
      <c r="H136" s="173">
        <v>112.2</v>
      </c>
      <c r="I136" s="175" t="s">
        <v>106</v>
      </c>
      <c r="J136" s="18">
        <v>1.1000000000000001</v>
      </c>
      <c r="K136" s="30">
        <v>3.2</v>
      </c>
      <c r="L136" s="18">
        <v>4.3</v>
      </c>
      <c r="M136" s="174"/>
      <c r="N136" s="174"/>
    </row>
    <row r="137" spans="3:14" ht="15.75">
      <c r="C137" s="184">
        <f t="shared" si="3"/>
        <v>6</v>
      </c>
      <c r="D137" s="18" t="s">
        <v>71</v>
      </c>
      <c r="E137" s="173">
        <v>63</v>
      </c>
      <c r="F137" s="173" t="s">
        <v>142</v>
      </c>
      <c r="G137" s="173" t="s">
        <v>115</v>
      </c>
      <c r="H137" s="173">
        <v>25.5</v>
      </c>
      <c r="I137" s="175" t="s">
        <v>106</v>
      </c>
      <c r="J137" s="18">
        <v>1.1000000000000001</v>
      </c>
      <c r="K137" s="30">
        <v>3.2</v>
      </c>
      <c r="L137" s="18">
        <v>4.3</v>
      </c>
      <c r="M137" s="174"/>
      <c r="N137" s="174"/>
    </row>
    <row r="138" spans="3:14" ht="15.75">
      <c r="C138" s="184">
        <f t="shared" si="3"/>
        <v>7</v>
      </c>
      <c r="D138" s="18" t="s">
        <v>71</v>
      </c>
      <c r="E138" s="173">
        <v>63</v>
      </c>
      <c r="F138" s="173" t="s">
        <v>142</v>
      </c>
      <c r="G138" s="173" t="s">
        <v>127</v>
      </c>
      <c r="H138" s="173">
        <v>40.6</v>
      </c>
      <c r="I138" s="175" t="s">
        <v>106</v>
      </c>
      <c r="J138" s="18">
        <v>1.1000000000000001</v>
      </c>
      <c r="K138" s="30">
        <v>3.2</v>
      </c>
      <c r="L138" s="18">
        <v>4.3</v>
      </c>
      <c r="M138" s="174"/>
      <c r="N138" s="174"/>
    </row>
    <row r="139" spans="3:14" ht="15.75">
      <c r="C139" s="184">
        <f t="shared" si="3"/>
        <v>8</v>
      </c>
      <c r="D139" s="18" t="s">
        <v>71</v>
      </c>
      <c r="E139" s="173">
        <v>63</v>
      </c>
      <c r="F139" s="173" t="s">
        <v>127</v>
      </c>
      <c r="G139" s="173" t="s">
        <v>1247</v>
      </c>
      <c r="H139" s="173">
        <v>20.2</v>
      </c>
      <c r="I139" s="175" t="s">
        <v>106</v>
      </c>
      <c r="J139" s="18">
        <v>1.1000000000000001</v>
      </c>
      <c r="K139" s="30">
        <v>3.2</v>
      </c>
      <c r="L139" s="18">
        <v>4.3</v>
      </c>
      <c r="M139" s="174"/>
      <c r="N139" s="174"/>
    </row>
    <row r="140" spans="3:14" ht="15.75">
      <c r="C140" s="184">
        <f t="shared" si="3"/>
        <v>9</v>
      </c>
      <c r="D140" s="18" t="s">
        <v>71</v>
      </c>
      <c r="E140" s="173">
        <v>63</v>
      </c>
      <c r="F140" s="173" t="s">
        <v>127</v>
      </c>
      <c r="G140" s="173" t="s">
        <v>404</v>
      </c>
      <c r="H140" s="173">
        <v>80</v>
      </c>
      <c r="I140" s="175" t="s">
        <v>106</v>
      </c>
      <c r="J140" s="18">
        <v>1.1000000000000001</v>
      </c>
      <c r="K140" s="30">
        <v>3.2</v>
      </c>
      <c r="L140" s="18">
        <v>4.3</v>
      </c>
      <c r="M140" s="174"/>
      <c r="N140" s="174"/>
    </row>
    <row r="141" spans="3:14" ht="15.75">
      <c r="C141" s="18">
        <f t="shared" ref="C141:C184" si="4">1+C140</f>
        <v>10</v>
      </c>
      <c r="D141" s="18" t="s">
        <v>71</v>
      </c>
      <c r="E141" s="173">
        <v>63</v>
      </c>
      <c r="F141" s="173" t="s">
        <v>142</v>
      </c>
      <c r="G141" s="173" t="s">
        <v>230</v>
      </c>
      <c r="H141" s="173">
        <v>59.8</v>
      </c>
      <c r="I141" s="175" t="s">
        <v>106</v>
      </c>
      <c r="J141" s="18">
        <v>1.1000000000000001</v>
      </c>
      <c r="K141" s="30">
        <v>3.2</v>
      </c>
      <c r="L141" s="18">
        <v>4.3</v>
      </c>
      <c r="M141" s="174"/>
      <c r="N141" s="174"/>
    </row>
    <row r="142" spans="3:14" ht="15.75">
      <c r="C142" s="18">
        <f t="shared" si="4"/>
        <v>11</v>
      </c>
      <c r="D142" s="18" t="s">
        <v>71</v>
      </c>
      <c r="E142" s="173">
        <v>63</v>
      </c>
      <c r="F142" s="173" t="s">
        <v>230</v>
      </c>
      <c r="G142" s="173" t="s">
        <v>1262</v>
      </c>
      <c r="H142" s="173">
        <f>31.5+18.2</f>
        <v>49.7</v>
      </c>
      <c r="I142" s="175" t="s">
        <v>106</v>
      </c>
      <c r="J142" s="18">
        <v>1.1000000000000001</v>
      </c>
      <c r="K142" s="30">
        <v>3.2</v>
      </c>
      <c r="L142" s="18">
        <v>4.3</v>
      </c>
      <c r="M142" s="174"/>
      <c r="N142" s="174"/>
    </row>
    <row r="143" spans="3:14" ht="15.75">
      <c r="C143" s="18">
        <f t="shared" si="4"/>
        <v>12</v>
      </c>
      <c r="D143" s="18" t="s">
        <v>71</v>
      </c>
      <c r="E143" s="173">
        <v>63</v>
      </c>
      <c r="F143" s="173" t="s">
        <v>1262</v>
      </c>
      <c r="G143" s="173" t="s">
        <v>536</v>
      </c>
      <c r="H143" s="173">
        <v>65.599999999999994</v>
      </c>
      <c r="I143" s="175" t="s">
        <v>106</v>
      </c>
      <c r="J143" s="18">
        <v>1.1000000000000001</v>
      </c>
      <c r="K143" s="30">
        <v>3.2</v>
      </c>
      <c r="L143" s="18">
        <v>4.3</v>
      </c>
      <c r="M143" s="174"/>
      <c r="N143" s="174"/>
    </row>
    <row r="144" spans="3:14" ht="15.75">
      <c r="C144" s="18">
        <f t="shared" si="4"/>
        <v>13</v>
      </c>
      <c r="D144" s="18" t="s">
        <v>71</v>
      </c>
      <c r="E144" s="173">
        <v>63</v>
      </c>
      <c r="F144" s="173" t="s">
        <v>536</v>
      </c>
      <c r="G144" s="173" t="s">
        <v>205</v>
      </c>
      <c r="H144" s="173">
        <v>39.799999999999997</v>
      </c>
      <c r="I144" s="175" t="s">
        <v>106</v>
      </c>
      <c r="J144" s="18">
        <v>1.1000000000000001</v>
      </c>
      <c r="K144" s="30">
        <v>3.2</v>
      </c>
      <c r="L144" s="18">
        <v>4.3</v>
      </c>
      <c r="M144" s="174"/>
      <c r="N144" s="174"/>
    </row>
    <row r="145" spans="3:14" ht="15.75">
      <c r="C145" s="18">
        <f t="shared" si="4"/>
        <v>14</v>
      </c>
      <c r="D145" s="18" t="s">
        <v>71</v>
      </c>
      <c r="E145" s="173">
        <v>63</v>
      </c>
      <c r="F145" s="173" t="s">
        <v>205</v>
      </c>
      <c r="G145" s="173" t="s">
        <v>145</v>
      </c>
      <c r="H145" s="173">
        <v>16.8</v>
      </c>
      <c r="I145" s="170" t="s">
        <v>106</v>
      </c>
      <c r="J145" s="18">
        <v>1.1000000000000001</v>
      </c>
      <c r="K145" s="30">
        <v>3.2</v>
      </c>
      <c r="L145" s="18">
        <v>4.3</v>
      </c>
      <c r="M145" s="168"/>
      <c r="N145" s="168"/>
    </row>
    <row r="146" spans="3:14" ht="15.75">
      <c r="C146" s="18">
        <f t="shared" si="4"/>
        <v>15</v>
      </c>
      <c r="D146" s="18" t="s">
        <v>71</v>
      </c>
      <c r="E146" s="173">
        <v>63</v>
      </c>
      <c r="F146" s="173" t="s">
        <v>205</v>
      </c>
      <c r="G146" s="173" t="s">
        <v>243</v>
      </c>
      <c r="H146" s="173">
        <v>26.7</v>
      </c>
      <c r="I146" s="170" t="s">
        <v>106</v>
      </c>
      <c r="J146" s="18">
        <v>1.1000000000000001</v>
      </c>
      <c r="K146" s="30">
        <v>3.2</v>
      </c>
      <c r="L146" s="18">
        <v>4.3</v>
      </c>
      <c r="M146" s="168"/>
      <c r="N146" s="168"/>
    </row>
    <row r="147" spans="3:14" ht="15.75">
      <c r="C147" s="18">
        <f t="shared" si="4"/>
        <v>16</v>
      </c>
      <c r="D147" s="18" t="s">
        <v>71</v>
      </c>
      <c r="E147" s="173">
        <v>63</v>
      </c>
      <c r="F147" s="173" t="s">
        <v>230</v>
      </c>
      <c r="G147" s="173" t="s">
        <v>357</v>
      </c>
      <c r="H147" s="173">
        <v>27.4</v>
      </c>
      <c r="I147" s="170" t="s">
        <v>106</v>
      </c>
      <c r="J147" s="18">
        <v>1.1000000000000001</v>
      </c>
      <c r="K147" s="30">
        <v>3.2</v>
      </c>
      <c r="L147" s="18">
        <v>4.3</v>
      </c>
      <c r="M147" s="168"/>
      <c r="N147" s="168"/>
    </row>
    <row r="148" spans="3:14" ht="15.75">
      <c r="C148" s="18">
        <f t="shared" si="4"/>
        <v>17</v>
      </c>
      <c r="D148" s="18" t="s">
        <v>71</v>
      </c>
      <c r="E148" s="173">
        <v>63</v>
      </c>
      <c r="F148" s="173" t="s">
        <v>357</v>
      </c>
      <c r="G148" s="173" t="s">
        <v>115</v>
      </c>
      <c r="H148" s="173">
        <v>47.8</v>
      </c>
      <c r="I148" s="170" t="s">
        <v>106</v>
      </c>
      <c r="J148" s="18">
        <v>1.1000000000000001</v>
      </c>
      <c r="K148" s="30">
        <v>3.2</v>
      </c>
      <c r="L148" s="18">
        <v>4.3</v>
      </c>
      <c r="M148" s="168"/>
      <c r="N148" s="168"/>
    </row>
    <row r="149" spans="3:14" ht="15.75">
      <c r="C149" s="18">
        <f t="shared" si="4"/>
        <v>18</v>
      </c>
      <c r="D149" s="18" t="s">
        <v>71</v>
      </c>
      <c r="E149" s="173">
        <v>63</v>
      </c>
      <c r="F149" s="173" t="s">
        <v>115</v>
      </c>
      <c r="G149" s="173" t="s">
        <v>142</v>
      </c>
      <c r="H149" s="173">
        <v>63.5</v>
      </c>
      <c r="I149" s="170" t="s">
        <v>106</v>
      </c>
      <c r="J149" s="18">
        <v>1.1000000000000001</v>
      </c>
      <c r="K149" s="30">
        <v>3.2</v>
      </c>
      <c r="L149" s="18">
        <v>4.3</v>
      </c>
      <c r="M149" s="168"/>
      <c r="N149" s="168"/>
    </row>
    <row r="150" spans="3:14" ht="15.75">
      <c r="C150" s="18">
        <f t="shared" si="4"/>
        <v>19</v>
      </c>
      <c r="D150" s="18" t="s">
        <v>71</v>
      </c>
      <c r="E150" s="173">
        <v>63</v>
      </c>
      <c r="F150" s="173" t="s">
        <v>115</v>
      </c>
      <c r="G150" s="173" t="s">
        <v>233</v>
      </c>
      <c r="H150" s="173">
        <v>60.8</v>
      </c>
      <c r="I150" s="170" t="s">
        <v>106</v>
      </c>
      <c r="J150" s="18">
        <v>1.1000000000000001</v>
      </c>
      <c r="K150" s="30">
        <v>3.2</v>
      </c>
      <c r="L150" s="18">
        <v>4.3</v>
      </c>
      <c r="M150" s="168"/>
      <c r="N150" s="168"/>
    </row>
    <row r="151" spans="3:14" ht="15.75">
      <c r="C151" s="18">
        <f t="shared" si="4"/>
        <v>20</v>
      </c>
      <c r="D151" s="18" t="s">
        <v>71</v>
      </c>
      <c r="E151" s="173">
        <v>63</v>
      </c>
      <c r="F151" s="173" t="s">
        <v>115</v>
      </c>
      <c r="G151" s="173" t="s">
        <v>233</v>
      </c>
      <c r="H151" s="173">
        <v>3.2</v>
      </c>
      <c r="I151" s="170" t="s">
        <v>106</v>
      </c>
      <c r="J151" s="18">
        <v>1.1000000000000001</v>
      </c>
      <c r="K151" s="30">
        <v>3.2</v>
      </c>
      <c r="L151" s="18">
        <v>4.3</v>
      </c>
      <c r="M151" s="168"/>
      <c r="N151" s="168"/>
    </row>
    <row r="152" spans="3:14" ht="15.75">
      <c r="C152" s="18">
        <f t="shared" si="4"/>
        <v>21</v>
      </c>
      <c r="D152" s="18" t="s">
        <v>71</v>
      </c>
      <c r="E152" s="173">
        <v>63</v>
      </c>
      <c r="F152" s="173" t="s">
        <v>233</v>
      </c>
      <c r="G152" s="173" t="s">
        <v>1263</v>
      </c>
      <c r="H152" s="173">
        <f>41.6-14.5</f>
        <v>27.1</v>
      </c>
      <c r="I152" s="170" t="s">
        <v>106</v>
      </c>
      <c r="J152" s="18">
        <v>1.1000000000000001</v>
      </c>
      <c r="K152" s="30">
        <v>3.2</v>
      </c>
      <c r="L152" s="18">
        <v>4.3</v>
      </c>
      <c r="M152" s="168"/>
      <c r="N152" s="168"/>
    </row>
    <row r="153" spans="3:14" ht="15.75">
      <c r="C153" s="18">
        <f t="shared" si="4"/>
        <v>22</v>
      </c>
      <c r="D153" s="18" t="s">
        <v>71</v>
      </c>
      <c r="E153" s="173">
        <v>63</v>
      </c>
      <c r="F153" s="173" t="s">
        <v>1263</v>
      </c>
      <c r="G153" s="173" t="s">
        <v>190</v>
      </c>
      <c r="H153" s="173">
        <v>14.5</v>
      </c>
      <c r="I153" s="170" t="s">
        <v>106</v>
      </c>
      <c r="J153" s="18">
        <v>1.1000000000000001</v>
      </c>
      <c r="K153" s="30">
        <v>3.2</v>
      </c>
      <c r="L153" s="18">
        <v>4.3</v>
      </c>
      <c r="M153" s="168"/>
      <c r="N153" s="168"/>
    </row>
    <row r="154" spans="3:14" ht="15.75">
      <c r="C154" s="18">
        <f t="shared" si="4"/>
        <v>23</v>
      </c>
      <c r="D154" s="18" t="s">
        <v>71</v>
      </c>
      <c r="E154" s="173">
        <v>63</v>
      </c>
      <c r="F154" s="173" t="s">
        <v>1263</v>
      </c>
      <c r="G154" s="173" t="s">
        <v>1264</v>
      </c>
      <c r="H154" s="173">
        <v>26.2</v>
      </c>
      <c r="I154" s="170" t="s">
        <v>106</v>
      </c>
      <c r="J154" s="18">
        <v>1.1000000000000001</v>
      </c>
      <c r="K154" s="30">
        <v>3.2</v>
      </c>
      <c r="L154" s="18">
        <v>4.3</v>
      </c>
      <c r="M154" s="168"/>
      <c r="N154" s="168"/>
    </row>
    <row r="155" spans="3:14" ht="15.75">
      <c r="C155" s="18">
        <f t="shared" si="4"/>
        <v>24</v>
      </c>
      <c r="D155" s="18" t="s">
        <v>71</v>
      </c>
      <c r="E155" s="173">
        <v>63</v>
      </c>
      <c r="F155" s="173" t="s">
        <v>233</v>
      </c>
      <c r="G155" s="173" t="s">
        <v>218</v>
      </c>
      <c r="H155" s="173">
        <v>34.9</v>
      </c>
      <c r="I155" s="170" t="s">
        <v>106</v>
      </c>
      <c r="J155" s="18">
        <v>1.1000000000000001</v>
      </c>
      <c r="K155" s="30">
        <v>3.2</v>
      </c>
      <c r="L155" s="18">
        <v>4.3</v>
      </c>
      <c r="M155" s="168"/>
      <c r="N155" s="168"/>
    </row>
    <row r="156" spans="3:14" ht="15.75">
      <c r="C156" s="18">
        <f t="shared" si="4"/>
        <v>25</v>
      </c>
      <c r="D156" s="18" t="s">
        <v>71</v>
      </c>
      <c r="E156" s="173">
        <v>63</v>
      </c>
      <c r="F156" s="173" t="s">
        <v>218</v>
      </c>
      <c r="G156" s="173" t="s">
        <v>779</v>
      </c>
      <c r="H156" s="173">
        <v>51.5</v>
      </c>
      <c r="I156" s="170" t="s">
        <v>106</v>
      </c>
      <c r="J156" s="18">
        <v>1.1000000000000001</v>
      </c>
      <c r="K156" s="30">
        <v>3.2</v>
      </c>
      <c r="L156" s="18">
        <v>4.3</v>
      </c>
      <c r="M156" s="168"/>
      <c r="N156" s="168"/>
    </row>
    <row r="157" spans="3:14" ht="15.75">
      <c r="C157" s="18">
        <f t="shared" si="4"/>
        <v>26</v>
      </c>
      <c r="D157" s="18" t="s">
        <v>71</v>
      </c>
      <c r="E157" s="173">
        <v>63</v>
      </c>
      <c r="F157" s="173" t="s">
        <v>218</v>
      </c>
      <c r="G157" s="173" t="s">
        <v>318</v>
      </c>
      <c r="H157" s="173">
        <v>63.5</v>
      </c>
      <c r="I157" s="170" t="s">
        <v>106</v>
      </c>
      <c r="J157" s="18">
        <v>1.1000000000000001</v>
      </c>
      <c r="K157" s="30">
        <v>3.2</v>
      </c>
      <c r="L157" s="18">
        <v>4.3</v>
      </c>
      <c r="M157" s="168"/>
      <c r="N157" s="168"/>
    </row>
    <row r="158" spans="3:14" ht="15.75">
      <c r="C158" s="18">
        <f t="shared" si="4"/>
        <v>27</v>
      </c>
      <c r="D158" s="18" t="s">
        <v>71</v>
      </c>
      <c r="E158" s="173">
        <v>63</v>
      </c>
      <c r="F158" s="173" t="s">
        <v>357</v>
      </c>
      <c r="G158" s="173" t="s">
        <v>505</v>
      </c>
      <c r="H158" s="173">
        <v>20.100000000000001</v>
      </c>
      <c r="I158" s="170" t="s">
        <v>106</v>
      </c>
      <c r="J158" s="18">
        <v>1.1000000000000001</v>
      </c>
      <c r="K158" s="30">
        <v>3.2</v>
      </c>
      <c r="L158" s="18">
        <v>4.3</v>
      </c>
      <c r="M158" s="168"/>
      <c r="N158" s="168"/>
    </row>
    <row r="159" spans="3:14" ht="15.75">
      <c r="C159" s="18">
        <f t="shared" si="4"/>
        <v>28</v>
      </c>
      <c r="D159" s="18" t="s">
        <v>71</v>
      </c>
      <c r="E159" s="173">
        <v>63</v>
      </c>
      <c r="F159" s="173" t="s">
        <v>505</v>
      </c>
      <c r="G159" s="173" t="s">
        <v>148</v>
      </c>
      <c r="H159" s="173">
        <v>13.4</v>
      </c>
      <c r="I159" s="170" t="s">
        <v>106</v>
      </c>
      <c r="J159" s="18">
        <v>1.1000000000000001</v>
      </c>
      <c r="K159" s="30">
        <v>3.2</v>
      </c>
      <c r="L159" s="18">
        <v>4.3</v>
      </c>
      <c r="M159" s="168"/>
      <c r="N159" s="168"/>
    </row>
    <row r="160" spans="3:14" ht="15.75">
      <c r="C160" s="18">
        <f t="shared" si="4"/>
        <v>29</v>
      </c>
      <c r="D160" s="18" t="s">
        <v>71</v>
      </c>
      <c r="E160" s="173">
        <v>63</v>
      </c>
      <c r="F160" s="173" t="s">
        <v>505</v>
      </c>
      <c r="G160" s="173" t="s">
        <v>148</v>
      </c>
      <c r="H160" s="173">
        <v>50.1</v>
      </c>
      <c r="I160" s="170" t="s">
        <v>106</v>
      </c>
      <c r="J160" s="18">
        <v>1.1000000000000001</v>
      </c>
      <c r="K160" s="30">
        <v>3.2</v>
      </c>
      <c r="L160" s="18">
        <v>4.3</v>
      </c>
      <c r="M160" s="168"/>
      <c r="N160" s="168"/>
    </row>
    <row r="161" spans="3:14" ht="15.75">
      <c r="C161" s="18">
        <f t="shared" si="4"/>
        <v>30</v>
      </c>
      <c r="D161" s="18" t="s">
        <v>71</v>
      </c>
      <c r="E161" s="173">
        <v>63</v>
      </c>
      <c r="F161" s="173" t="s">
        <v>505</v>
      </c>
      <c r="G161" s="173" t="s">
        <v>1265</v>
      </c>
      <c r="H161" s="173">
        <f>127.3+66</f>
        <v>193.3</v>
      </c>
      <c r="I161" s="170" t="s">
        <v>106</v>
      </c>
      <c r="J161" s="18">
        <v>1.1000000000000001</v>
      </c>
      <c r="K161" s="30">
        <v>3.2</v>
      </c>
      <c r="L161" s="18">
        <v>4.3</v>
      </c>
      <c r="M161" s="168"/>
      <c r="N161" s="168"/>
    </row>
    <row r="162" spans="3:14" ht="15.75">
      <c r="C162" s="18">
        <f t="shared" si="4"/>
        <v>31</v>
      </c>
      <c r="D162" s="18" t="s">
        <v>71</v>
      </c>
      <c r="E162" s="173">
        <v>63</v>
      </c>
      <c r="F162" s="173" t="s">
        <v>1265</v>
      </c>
      <c r="G162" s="173" t="s">
        <v>1266</v>
      </c>
      <c r="H162" s="173">
        <v>23.2</v>
      </c>
      <c r="I162" s="170" t="s">
        <v>106</v>
      </c>
      <c r="J162" s="18">
        <v>1.1000000000000001</v>
      </c>
      <c r="K162" s="30">
        <v>3.2</v>
      </c>
      <c r="L162" s="18">
        <v>4.3</v>
      </c>
      <c r="M162" s="168"/>
      <c r="N162" s="168"/>
    </row>
    <row r="163" spans="3:14" ht="15.75">
      <c r="C163" s="18">
        <f t="shared" si="4"/>
        <v>32</v>
      </c>
      <c r="D163" s="18" t="s">
        <v>71</v>
      </c>
      <c r="E163" s="173">
        <v>63</v>
      </c>
      <c r="F163" s="173" t="s">
        <v>1265</v>
      </c>
      <c r="G163" s="173" t="s">
        <v>699</v>
      </c>
      <c r="H163" s="173">
        <f>22.2+13.7</f>
        <v>35.9</v>
      </c>
      <c r="I163" s="170" t="s">
        <v>106</v>
      </c>
      <c r="J163" s="18">
        <v>1.1000000000000001</v>
      </c>
      <c r="K163" s="30">
        <v>3.2</v>
      </c>
      <c r="L163" s="18">
        <v>4.3</v>
      </c>
      <c r="M163" s="168"/>
      <c r="N163" s="168"/>
    </row>
    <row r="164" spans="3:14" ht="15.75">
      <c r="C164" s="18">
        <f t="shared" si="4"/>
        <v>33</v>
      </c>
      <c r="D164" s="18" t="s">
        <v>71</v>
      </c>
      <c r="E164" s="173">
        <v>63</v>
      </c>
      <c r="F164" s="173" t="s">
        <v>699</v>
      </c>
      <c r="G164" s="173" t="s">
        <v>148</v>
      </c>
      <c r="H164" s="173">
        <v>64.8</v>
      </c>
      <c r="I164" s="170" t="s">
        <v>106</v>
      </c>
      <c r="J164" s="18">
        <v>1.1000000000000001</v>
      </c>
      <c r="K164" s="30">
        <v>3.2</v>
      </c>
      <c r="L164" s="18">
        <v>4.3</v>
      </c>
      <c r="M164" s="168"/>
      <c r="N164" s="168"/>
    </row>
    <row r="165" spans="3:14" ht="15.75">
      <c r="C165" s="18">
        <f t="shared" si="4"/>
        <v>34</v>
      </c>
      <c r="D165" s="18" t="s">
        <v>71</v>
      </c>
      <c r="E165" s="173">
        <v>63</v>
      </c>
      <c r="F165" s="173" t="s">
        <v>148</v>
      </c>
      <c r="G165" s="173" t="s">
        <v>1267</v>
      </c>
      <c r="H165" s="173">
        <v>24.6</v>
      </c>
      <c r="I165" s="170" t="s">
        <v>106</v>
      </c>
      <c r="J165" s="18">
        <v>1.1000000000000001</v>
      </c>
      <c r="K165" s="30">
        <v>3.2</v>
      </c>
      <c r="L165" s="18">
        <v>4.3</v>
      </c>
      <c r="M165" s="168"/>
      <c r="N165" s="168"/>
    </row>
    <row r="166" spans="3:14" ht="15.75">
      <c r="C166" s="18">
        <f t="shared" si="4"/>
        <v>35</v>
      </c>
      <c r="D166" s="18" t="s">
        <v>71</v>
      </c>
      <c r="E166" s="173">
        <v>63</v>
      </c>
      <c r="F166" s="173" t="s">
        <v>1267</v>
      </c>
      <c r="G166" s="173" t="s">
        <v>1268</v>
      </c>
      <c r="H166" s="173">
        <v>17.899999999999999</v>
      </c>
      <c r="I166" s="170" t="s">
        <v>106</v>
      </c>
      <c r="J166" s="18">
        <v>1.1000000000000001</v>
      </c>
      <c r="K166" s="30">
        <v>3.2</v>
      </c>
      <c r="L166" s="18">
        <v>4.3</v>
      </c>
      <c r="M166" s="168"/>
      <c r="N166" s="168"/>
    </row>
    <row r="167" spans="3:14" ht="15.75">
      <c r="C167" s="18">
        <f t="shared" si="4"/>
        <v>36</v>
      </c>
      <c r="D167" s="18" t="s">
        <v>71</v>
      </c>
      <c r="E167" s="173">
        <v>63</v>
      </c>
      <c r="F167" s="173" t="s">
        <v>1267</v>
      </c>
      <c r="G167" s="173" t="s">
        <v>246</v>
      </c>
      <c r="H167" s="173">
        <v>72.400000000000006</v>
      </c>
      <c r="I167" s="170" t="s">
        <v>106</v>
      </c>
      <c r="J167" s="18">
        <v>1.1000000000000001</v>
      </c>
      <c r="K167" s="30">
        <v>3.2</v>
      </c>
      <c r="L167" s="18">
        <v>4.3</v>
      </c>
      <c r="M167" s="168"/>
      <c r="N167" s="168"/>
    </row>
    <row r="168" spans="3:14" ht="15.75">
      <c r="C168" s="18">
        <f t="shared" si="4"/>
        <v>37</v>
      </c>
      <c r="D168" s="18" t="s">
        <v>71</v>
      </c>
      <c r="E168" s="173">
        <v>63</v>
      </c>
      <c r="F168" s="173" t="s">
        <v>699</v>
      </c>
      <c r="G168" s="173" t="s">
        <v>246</v>
      </c>
      <c r="H168" s="173">
        <v>31.2</v>
      </c>
      <c r="I168" s="170" t="s">
        <v>106</v>
      </c>
      <c r="J168" s="18">
        <v>1.1000000000000001</v>
      </c>
      <c r="K168" s="30">
        <v>3.2</v>
      </c>
      <c r="L168" s="18">
        <v>4.3</v>
      </c>
      <c r="M168" s="168"/>
      <c r="N168" s="168"/>
    </row>
    <row r="169" spans="3:14" ht="15.75">
      <c r="C169" s="18">
        <f t="shared" si="4"/>
        <v>38</v>
      </c>
      <c r="D169" s="18" t="s">
        <v>71</v>
      </c>
      <c r="E169" s="173">
        <v>63</v>
      </c>
      <c r="F169" s="173" t="s">
        <v>246</v>
      </c>
      <c r="G169" s="173" t="s">
        <v>221</v>
      </c>
      <c r="H169" s="173">
        <v>3.5</v>
      </c>
      <c r="I169" s="170" t="s">
        <v>106</v>
      </c>
      <c r="J169" s="18">
        <v>1.1000000000000001</v>
      </c>
      <c r="K169" s="30">
        <v>3.2</v>
      </c>
      <c r="L169" s="18">
        <v>4.3</v>
      </c>
      <c r="M169" s="168"/>
      <c r="N169" s="168"/>
    </row>
    <row r="170" spans="3:14" ht="15.75">
      <c r="C170" s="18">
        <f t="shared" si="4"/>
        <v>39</v>
      </c>
      <c r="D170" s="18" t="s">
        <v>71</v>
      </c>
      <c r="E170" s="173">
        <v>63</v>
      </c>
      <c r="F170" s="173" t="s">
        <v>246</v>
      </c>
      <c r="G170" s="173" t="s">
        <v>221</v>
      </c>
      <c r="H170" s="173">
        <v>74.8</v>
      </c>
      <c r="I170" s="170" t="s">
        <v>106</v>
      </c>
      <c r="J170" s="18">
        <v>1.1000000000000001</v>
      </c>
      <c r="K170" s="30">
        <v>3.2</v>
      </c>
      <c r="L170" s="18">
        <v>4.3</v>
      </c>
      <c r="M170" s="168"/>
      <c r="N170" s="168"/>
    </row>
    <row r="171" spans="3:14" ht="15.75">
      <c r="C171" s="18">
        <f t="shared" si="4"/>
        <v>40</v>
      </c>
      <c r="D171" s="18" t="s">
        <v>71</v>
      </c>
      <c r="E171" s="173">
        <v>75</v>
      </c>
      <c r="F171" s="173" t="s">
        <v>1269</v>
      </c>
      <c r="G171" s="173" t="s">
        <v>354</v>
      </c>
      <c r="H171" s="173">
        <v>157.69999999999999</v>
      </c>
      <c r="I171" s="170" t="s">
        <v>106</v>
      </c>
      <c r="J171" s="18">
        <v>1.1000000000000001</v>
      </c>
      <c r="K171" s="30">
        <v>3.2</v>
      </c>
      <c r="L171" s="18">
        <v>4.3</v>
      </c>
      <c r="M171" s="168"/>
      <c r="N171" s="168"/>
    </row>
    <row r="172" spans="3:14" ht="15.75">
      <c r="C172" s="18">
        <f t="shared" si="4"/>
        <v>41</v>
      </c>
      <c r="D172" s="18" t="s">
        <v>71</v>
      </c>
      <c r="E172" s="173">
        <v>63</v>
      </c>
      <c r="F172" s="173" t="s">
        <v>366</v>
      </c>
      <c r="G172" s="173" t="s">
        <v>309</v>
      </c>
      <c r="H172" s="173">
        <f>95.5+22.9</f>
        <v>118.4</v>
      </c>
      <c r="I172" s="170" t="s">
        <v>106</v>
      </c>
      <c r="J172" s="18">
        <v>1.1000000000000001</v>
      </c>
      <c r="K172" s="30">
        <v>3.2</v>
      </c>
      <c r="L172" s="18">
        <v>4.3</v>
      </c>
      <c r="M172" s="168"/>
      <c r="N172" s="168"/>
    </row>
    <row r="173" spans="3:14" ht="15.75">
      <c r="C173" s="18">
        <f t="shared" si="4"/>
        <v>42</v>
      </c>
      <c r="D173" s="18" t="s">
        <v>71</v>
      </c>
      <c r="E173" s="173">
        <v>63</v>
      </c>
      <c r="F173" s="173" t="s">
        <v>309</v>
      </c>
      <c r="G173" s="173" t="s">
        <v>1126</v>
      </c>
      <c r="H173" s="173">
        <v>60.1</v>
      </c>
      <c r="I173" s="170" t="s">
        <v>106</v>
      </c>
      <c r="J173" s="18">
        <v>1.1000000000000001</v>
      </c>
      <c r="K173" s="30">
        <v>3.2</v>
      </c>
      <c r="L173" s="18">
        <v>4.3</v>
      </c>
      <c r="M173" s="168"/>
      <c r="N173" s="168"/>
    </row>
    <row r="174" spans="3:14" ht="15.75">
      <c r="C174" s="18">
        <f t="shared" si="4"/>
        <v>43</v>
      </c>
      <c r="D174" s="18" t="s">
        <v>71</v>
      </c>
      <c r="E174" s="173">
        <v>63</v>
      </c>
      <c r="F174" s="173" t="s">
        <v>309</v>
      </c>
      <c r="G174" s="173" t="s">
        <v>1270</v>
      </c>
      <c r="H174" s="173">
        <v>25.7</v>
      </c>
      <c r="I174" s="170" t="s">
        <v>106</v>
      </c>
      <c r="J174" s="18">
        <v>1.1000000000000001</v>
      </c>
      <c r="K174" s="30">
        <v>3.2</v>
      </c>
      <c r="L174" s="18">
        <v>4.3</v>
      </c>
      <c r="M174" s="168"/>
      <c r="N174" s="168"/>
    </row>
    <row r="175" spans="3:14" ht="15.75">
      <c r="C175" s="18">
        <f t="shared" si="4"/>
        <v>44</v>
      </c>
      <c r="D175" s="18" t="s">
        <v>71</v>
      </c>
      <c r="E175" s="173">
        <v>63</v>
      </c>
      <c r="F175" s="173" t="s">
        <v>1271</v>
      </c>
      <c r="G175" s="173" t="s">
        <v>1272</v>
      </c>
      <c r="H175" s="173">
        <v>31.4</v>
      </c>
      <c r="I175" s="170" t="s">
        <v>106</v>
      </c>
      <c r="J175" s="18">
        <v>1.1000000000000001</v>
      </c>
      <c r="K175" s="30">
        <v>3.2</v>
      </c>
      <c r="L175" s="18">
        <v>4.3</v>
      </c>
      <c r="M175" s="168"/>
      <c r="N175" s="168"/>
    </row>
    <row r="176" spans="3:14" ht="15.75">
      <c r="C176" s="18">
        <f t="shared" si="4"/>
        <v>45</v>
      </c>
      <c r="D176" s="18" t="s">
        <v>71</v>
      </c>
      <c r="E176" s="173">
        <v>63</v>
      </c>
      <c r="F176" s="173" t="s">
        <v>1271</v>
      </c>
      <c r="G176" s="173" t="s">
        <v>478</v>
      </c>
      <c r="H176" s="173">
        <v>74.099999999999994</v>
      </c>
      <c r="I176" s="170" t="s">
        <v>106</v>
      </c>
      <c r="J176" s="18">
        <v>1.1000000000000001</v>
      </c>
      <c r="K176" s="30">
        <v>3.2</v>
      </c>
      <c r="L176" s="18">
        <v>4.3</v>
      </c>
      <c r="M176" s="168"/>
      <c r="N176" s="168"/>
    </row>
    <row r="177" spans="3:14" ht="15.75">
      <c r="C177" s="18">
        <f t="shared" si="4"/>
        <v>46</v>
      </c>
      <c r="D177" s="18" t="s">
        <v>71</v>
      </c>
      <c r="E177" s="173">
        <v>63</v>
      </c>
      <c r="F177" s="173" t="s">
        <v>1271</v>
      </c>
      <c r="G177" s="173" t="s">
        <v>478</v>
      </c>
      <c r="H177" s="173">
        <f>118.8-43.7</f>
        <v>75.099999999999994</v>
      </c>
      <c r="I177" s="170" t="s">
        <v>106</v>
      </c>
      <c r="J177" s="18">
        <v>1.1000000000000001</v>
      </c>
      <c r="K177" s="30">
        <v>3.2</v>
      </c>
      <c r="L177" s="18">
        <v>4.3</v>
      </c>
      <c r="M177" s="168"/>
      <c r="N177" s="168"/>
    </row>
    <row r="178" spans="3:14" ht="15.75">
      <c r="C178" s="18">
        <f t="shared" si="4"/>
        <v>47</v>
      </c>
      <c r="D178" s="18" t="s">
        <v>71</v>
      </c>
      <c r="E178" s="173">
        <v>63</v>
      </c>
      <c r="F178" s="173" t="s">
        <v>677</v>
      </c>
      <c r="G178" s="173" t="s">
        <v>478</v>
      </c>
      <c r="H178" s="173">
        <v>43.7</v>
      </c>
      <c r="I178" s="170" t="s">
        <v>106</v>
      </c>
      <c r="J178" s="18">
        <v>1.1000000000000001</v>
      </c>
      <c r="K178" s="30">
        <v>3.2</v>
      </c>
      <c r="L178" s="18">
        <v>4.3</v>
      </c>
      <c r="M178" s="168"/>
      <c r="N178" s="168"/>
    </row>
    <row r="179" spans="3:14" ht="15.75">
      <c r="C179" s="18">
        <f t="shared" si="4"/>
        <v>48</v>
      </c>
      <c r="D179" s="18" t="s">
        <v>71</v>
      </c>
      <c r="E179" s="173">
        <v>63</v>
      </c>
      <c r="F179" s="173" t="s">
        <v>1273</v>
      </c>
      <c r="G179" s="173" t="s">
        <v>312</v>
      </c>
      <c r="H179" s="173">
        <v>272.8</v>
      </c>
      <c r="I179" s="170" t="s">
        <v>106</v>
      </c>
      <c r="J179" s="18">
        <v>1.1000000000000001</v>
      </c>
      <c r="K179" s="30">
        <v>3.2</v>
      </c>
      <c r="L179" s="18">
        <v>4.3</v>
      </c>
      <c r="M179" s="168"/>
      <c r="N179" s="168"/>
    </row>
    <row r="180" spans="3:14" ht="15.75">
      <c r="C180" s="18">
        <f t="shared" si="4"/>
        <v>49</v>
      </c>
      <c r="D180" s="18" t="s">
        <v>71</v>
      </c>
      <c r="E180" s="173">
        <v>63</v>
      </c>
      <c r="F180" s="173" t="s">
        <v>312</v>
      </c>
      <c r="G180" s="173" t="s">
        <v>314</v>
      </c>
      <c r="H180" s="173">
        <v>176</v>
      </c>
      <c r="I180" s="170" t="s">
        <v>106</v>
      </c>
      <c r="J180" s="18">
        <v>1.1000000000000001</v>
      </c>
      <c r="K180" s="30">
        <v>3.2</v>
      </c>
      <c r="L180" s="18">
        <v>4.3</v>
      </c>
      <c r="M180" s="168"/>
      <c r="N180" s="168"/>
    </row>
    <row r="181" spans="3:14" ht="15.75">
      <c r="C181" s="18">
        <f t="shared" si="4"/>
        <v>50</v>
      </c>
      <c r="D181" s="18" t="s">
        <v>71</v>
      </c>
      <c r="E181" s="173">
        <v>63</v>
      </c>
      <c r="F181" s="173" t="s">
        <v>314</v>
      </c>
      <c r="G181" s="173" t="s">
        <v>216</v>
      </c>
      <c r="H181" s="173">
        <f>48.2+6.5</f>
        <v>54.7</v>
      </c>
      <c r="I181" s="170" t="s">
        <v>106</v>
      </c>
      <c r="J181" s="18">
        <v>1.1000000000000001</v>
      </c>
      <c r="K181" s="30">
        <v>3.2</v>
      </c>
      <c r="L181" s="18">
        <v>4.3</v>
      </c>
      <c r="M181" s="168"/>
      <c r="N181" s="168"/>
    </row>
    <row r="182" spans="3:14" ht="15.75">
      <c r="C182" s="18">
        <f t="shared" si="4"/>
        <v>51</v>
      </c>
      <c r="D182" s="18" t="s">
        <v>71</v>
      </c>
      <c r="E182" s="173">
        <v>63</v>
      </c>
      <c r="F182" s="173" t="s">
        <v>314</v>
      </c>
      <c r="G182" s="173" t="s">
        <v>677</v>
      </c>
      <c r="H182" s="173">
        <v>158.6</v>
      </c>
      <c r="I182" s="170" t="s">
        <v>106</v>
      </c>
      <c r="J182" s="18">
        <v>1.1000000000000001</v>
      </c>
      <c r="K182" s="30">
        <v>3.2</v>
      </c>
      <c r="L182" s="18">
        <v>4.3</v>
      </c>
      <c r="M182" s="168"/>
      <c r="N182" s="168"/>
    </row>
    <row r="183" spans="3:14" ht="15.75">
      <c r="C183" s="18">
        <f t="shared" si="4"/>
        <v>52</v>
      </c>
      <c r="D183" s="18" t="s">
        <v>71</v>
      </c>
      <c r="E183" s="173">
        <v>63</v>
      </c>
      <c r="F183" s="173" t="s">
        <v>677</v>
      </c>
      <c r="G183" s="173" t="s">
        <v>154</v>
      </c>
      <c r="H183" s="173">
        <v>84.9</v>
      </c>
      <c r="I183" s="170" t="s">
        <v>106</v>
      </c>
      <c r="J183" s="18">
        <v>1.1000000000000001</v>
      </c>
      <c r="K183" s="30">
        <v>3.2</v>
      </c>
      <c r="L183" s="18">
        <v>4.3</v>
      </c>
      <c r="M183" s="168"/>
      <c r="N183" s="168"/>
    </row>
    <row r="184" spans="3:14" ht="15.75">
      <c r="C184" s="18">
        <f t="shared" si="4"/>
        <v>53</v>
      </c>
      <c r="D184" s="18" t="s">
        <v>71</v>
      </c>
      <c r="E184" s="173">
        <v>63</v>
      </c>
      <c r="F184" s="173" t="s">
        <v>154</v>
      </c>
      <c r="G184" s="173" t="s">
        <v>707</v>
      </c>
      <c r="H184" s="173">
        <f>36.8+14.5</f>
        <v>51.3</v>
      </c>
      <c r="I184" s="170" t="s">
        <v>106</v>
      </c>
      <c r="J184" s="18">
        <v>1.1000000000000001</v>
      </c>
      <c r="K184" s="30">
        <v>3.2</v>
      </c>
      <c r="L184" s="18">
        <v>4.3</v>
      </c>
      <c r="M184" s="168"/>
      <c r="N184" s="168"/>
    </row>
    <row r="185" spans="3:14" ht="15.75">
      <c r="C185" s="18"/>
      <c r="D185" s="18"/>
      <c r="E185" s="173"/>
      <c r="F185" s="173"/>
      <c r="G185" s="173"/>
      <c r="H185" s="173"/>
      <c r="I185" s="175"/>
      <c r="J185" s="18"/>
      <c r="K185" s="30"/>
      <c r="L185" s="18"/>
      <c r="M185" s="174"/>
      <c r="N185" s="174"/>
    </row>
    <row r="186" spans="3:14">
      <c r="C186" s="374"/>
      <c r="D186" s="374"/>
      <c r="E186" s="374"/>
      <c r="F186" s="374"/>
      <c r="G186" s="374"/>
      <c r="H186" s="374"/>
      <c r="I186" s="374"/>
      <c r="J186" s="374"/>
      <c r="K186" s="374"/>
      <c r="L186" s="374"/>
      <c r="M186" s="374"/>
      <c r="N186" s="374"/>
    </row>
    <row r="187" spans="3:14">
      <c r="C187" s="324"/>
      <c r="D187" s="324"/>
      <c r="E187" s="325" t="s">
        <v>86</v>
      </c>
      <c r="F187" s="325"/>
      <c r="G187" s="325"/>
      <c r="H187" s="325"/>
      <c r="I187" s="325" t="s">
        <v>87</v>
      </c>
      <c r="J187" s="325"/>
      <c r="K187" s="325"/>
      <c r="L187" s="325" t="s">
        <v>39</v>
      </c>
      <c r="M187" s="325"/>
      <c r="N187" s="325"/>
    </row>
    <row r="188" spans="3:14">
      <c r="C188" s="295" t="s">
        <v>40</v>
      </c>
      <c r="D188" s="295"/>
      <c r="E188" s="317"/>
      <c r="F188" s="317"/>
      <c r="G188" s="317"/>
      <c r="H188" s="317"/>
      <c r="I188" s="317"/>
      <c r="J188" s="317"/>
      <c r="K188" s="317"/>
      <c r="L188" s="317"/>
      <c r="M188" s="317"/>
      <c r="N188" s="317"/>
    </row>
    <row r="189" spans="3:14">
      <c r="C189" s="295" t="s">
        <v>41</v>
      </c>
      <c r="D189" s="295"/>
      <c r="E189" s="317"/>
      <c r="F189" s="317"/>
      <c r="G189" s="317"/>
      <c r="H189" s="317"/>
      <c r="I189" s="317"/>
      <c r="J189" s="317"/>
      <c r="K189" s="317"/>
      <c r="L189" s="317"/>
      <c r="M189" s="317"/>
      <c r="N189" s="317"/>
    </row>
    <row r="190" spans="3:14">
      <c r="C190" s="295" t="s">
        <v>42</v>
      </c>
      <c r="D190" s="295"/>
      <c r="E190" s="317"/>
      <c r="F190" s="317"/>
      <c r="G190" s="317"/>
      <c r="H190" s="317"/>
      <c r="I190" s="317"/>
      <c r="J190" s="317"/>
      <c r="K190" s="317"/>
      <c r="L190" s="317"/>
      <c r="M190" s="317"/>
      <c r="N190" s="317"/>
    </row>
    <row r="191" spans="3:14">
      <c r="C191" s="295" t="s">
        <v>43</v>
      </c>
      <c r="D191" s="295"/>
      <c r="E191" s="315"/>
      <c r="F191" s="316"/>
      <c r="G191" s="316"/>
      <c r="H191" s="316"/>
      <c r="I191" s="317"/>
      <c r="J191" s="317"/>
      <c r="K191" s="317"/>
      <c r="L191" s="317"/>
      <c r="M191" s="317"/>
      <c r="N191" s="317"/>
    </row>
    <row r="193" spans="3:14" ht="15.75" thickBot="1"/>
    <row r="194" spans="3:14">
      <c r="C194" s="206"/>
      <c r="D194" s="211" t="s">
        <v>44</v>
      </c>
      <c r="E194" s="212"/>
      <c r="F194" s="212"/>
      <c r="G194" s="212"/>
      <c r="H194" s="212"/>
      <c r="I194" s="212"/>
      <c r="J194" s="212"/>
      <c r="K194" s="212"/>
      <c r="L194" s="20"/>
      <c r="M194" s="20"/>
      <c r="N194" s="21"/>
    </row>
    <row r="195" spans="3:14">
      <c r="C195" s="207"/>
      <c r="D195" s="214"/>
      <c r="E195" s="215"/>
      <c r="F195" s="215"/>
      <c r="G195" s="215"/>
      <c r="H195" s="215"/>
      <c r="I195" s="215"/>
      <c r="J195" s="215"/>
      <c r="K195" s="215"/>
      <c r="N195" s="22"/>
    </row>
    <row r="196" spans="3:14">
      <c r="C196" s="207"/>
      <c r="D196" s="214"/>
      <c r="E196" s="215"/>
      <c r="F196" s="215"/>
      <c r="G196" s="215"/>
      <c r="H196" s="215"/>
      <c r="I196" s="215"/>
      <c r="J196" s="215"/>
      <c r="K196" s="215"/>
      <c r="N196" s="22"/>
    </row>
    <row r="197" spans="3:14">
      <c r="C197" s="207"/>
      <c r="D197" s="289"/>
      <c r="E197" s="290"/>
      <c r="F197" s="290"/>
      <c r="G197" s="290"/>
      <c r="H197" s="290"/>
      <c r="I197" s="290"/>
      <c r="J197" s="290"/>
      <c r="K197" s="290"/>
      <c r="N197" s="22"/>
    </row>
    <row r="198" spans="3:14" ht="16.5">
      <c r="C198" s="223" t="s">
        <v>45</v>
      </c>
      <c r="D198" s="224"/>
      <c r="E198" s="165" t="s">
        <v>46</v>
      </c>
      <c r="F198" s="166"/>
      <c r="G198" s="166"/>
      <c r="H198" s="166"/>
      <c r="I198" s="166"/>
      <c r="J198" s="166"/>
      <c r="K198" s="166"/>
      <c r="L198" s="166"/>
      <c r="M198" s="166"/>
      <c r="N198" s="23"/>
    </row>
    <row r="199" spans="3:14" ht="16.5">
      <c r="C199" s="223" t="s">
        <v>48</v>
      </c>
      <c r="D199" s="224"/>
      <c r="E199" s="165" t="s">
        <v>49</v>
      </c>
      <c r="F199" s="166"/>
      <c r="G199" s="166"/>
      <c r="H199" s="166"/>
      <c r="I199" s="166"/>
      <c r="J199" s="166"/>
      <c r="K199" s="166"/>
      <c r="L199" s="166"/>
      <c r="M199" s="166"/>
      <c r="N199" s="23"/>
    </row>
    <row r="200" spans="3:14" ht="16.5">
      <c r="C200" s="225" t="s">
        <v>50</v>
      </c>
      <c r="D200" s="226"/>
      <c r="E200" s="165" t="s">
        <v>51</v>
      </c>
      <c r="F200" s="166"/>
      <c r="G200" s="166"/>
      <c r="H200" s="166"/>
      <c r="I200" s="166"/>
      <c r="J200" s="166"/>
      <c r="K200" s="166"/>
      <c r="L200" s="166"/>
      <c r="M200" s="166"/>
      <c r="N200" s="23"/>
    </row>
    <row r="201" spans="3:14" ht="16.5">
      <c r="C201" s="223" t="s">
        <v>52</v>
      </c>
      <c r="D201" s="224"/>
      <c r="E201" s="165" t="s">
        <v>53</v>
      </c>
      <c r="F201" s="166"/>
      <c r="G201" s="166"/>
      <c r="H201" s="166"/>
      <c r="I201" s="166"/>
      <c r="J201" s="166"/>
      <c r="K201" s="166"/>
      <c r="L201" s="166"/>
      <c r="M201" s="166"/>
      <c r="N201" s="23"/>
    </row>
    <row r="202" spans="3:14" ht="15.75">
      <c r="C202" s="227" t="s">
        <v>1249</v>
      </c>
      <c r="D202" s="228"/>
      <c r="E202" s="228"/>
      <c r="F202" s="228"/>
      <c r="G202" s="228"/>
      <c r="H202" s="228"/>
      <c r="I202" s="228"/>
      <c r="J202" s="228"/>
      <c r="K202" s="228"/>
      <c r="L202" s="228"/>
      <c r="M202" s="228"/>
      <c r="N202" s="229"/>
    </row>
    <row r="203" spans="3:14" ht="15.75">
      <c r="C203" s="11" t="s">
        <v>55</v>
      </c>
      <c r="E203" s="12"/>
      <c r="F203" s="12"/>
      <c r="G203" s="12"/>
      <c r="H203" s="12"/>
      <c r="I203" s="24" t="s">
        <v>56</v>
      </c>
      <c r="J203" s="25"/>
      <c r="K203" s="12"/>
      <c r="L203" s="12"/>
      <c r="M203" s="12"/>
      <c r="N203" s="26"/>
    </row>
    <row r="204" spans="3:14">
      <c r="C204" s="217"/>
      <c r="D204" s="218"/>
      <c r="E204" s="218"/>
      <c r="F204" s="218"/>
      <c r="G204" s="218"/>
      <c r="H204" s="218"/>
      <c r="I204" s="218"/>
      <c r="J204" s="218"/>
      <c r="K204" s="218"/>
      <c r="L204" s="218"/>
      <c r="M204" s="218"/>
      <c r="N204" s="219"/>
    </row>
    <row r="205" spans="3:14" ht="15.75">
      <c r="C205" s="167" t="s">
        <v>103</v>
      </c>
      <c r="D205" s="355"/>
      <c r="E205" s="356"/>
      <c r="F205" s="356"/>
      <c r="G205" s="356"/>
      <c r="H205" s="357"/>
      <c r="I205" s="368" t="s">
        <v>542</v>
      </c>
      <c r="J205" s="369"/>
      <c r="K205" s="369"/>
      <c r="L205" s="369"/>
      <c r="M205" s="369"/>
      <c r="N205" s="370"/>
    </row>
    <row r="206" spans="3:14">
      <c r="C206" s="329" t="s">
        <v>59</v>
      </c>
      <c r="D206" s="209" t="s">
        <v>60</v>
      </c>
      <c r="E206" s="209" t="s">
        <v>659</v>
      </c>
      <c r="F206" s="209" t="s">
        <v>62</v>
      </c>
      <c r="G206" s="209" t="s">
        <v>63</v>
      </c>
      <c r="H206" s="209" t="s">
        <v>64</v>
      </c>
      <c r="I206" s="209" t="s">
        <v>65</v>
      </c>
      <c r="J206" s="342" t="s">
        <v>66</v>
      </c>
      <c r="K206" s="343"/>
      <c r="L206" s="344"/>
      <c r="M206" s="209" t="s">
        <v>30</v>
      </c>
      <c r="N206" s="328" t="s">
        <v>67</v>
      </c>
    </row>
    <row r="207" spans="3:14" ht="60">
      <c r="C207" s="359"/>
      <c r="D207" s="292"/>
      <c r="E207" s="292"/>
      <c r="F207" s="292"/>
      <c r="G207" s="292"/>
      <c r="H207" s="292"/>
      <c r="I207" s="292"/>
      <c r="J207" s="169" t="s">
        <v>68</v>
      </c>
      <c r="K207" s="28" t="s">
        <v>999</v>
      </c>
      <c r="L207" s="169" t="s">
        <v>70</v>
      </c>
      <c r="M207" s="292"/>
      <c r="N207" s="360"/>
    </row>
    <row r="208" spans="3:14" ht="15.75">
      <c r="C208" s="18">
        <v>1</v>
      </c>
      <c r="D208" s="18" t="s">
        <v>71</v>
      </c>
      <c r="E208" s="173">
        <v>63</v>
      </c>
      <c r="F208" s="173" t="s">
        <v>707</v>
      </c>
      <c r="G208" s="173" t="s">
        <v>478</v>
      </c>
      <c r="H208" s="173">
        <v>84.3</v>
      </c>
      <c r="I208" s="170" t="s">
        <v>106</v>
      </c>
      <c r="J208" s="18">
        <v>1</v>
      </c>
      <c r="K208" s="30">
        <v>3</v>
      </c>
      <c r="L208" s="18">
        <v>4</v>
      </c>
      <c r="M208" s="168"/>
      <c r="N208" s="168"/>
    </row>
    <row r="209" spans="3:14" ht="15.75">
      <c r="C209" s="18">
        <f>1+C208</f>
        <v>2</v>
      </c>
      <c r="D209" s="18" t="s">
        <v>71</v>
      </c>
      <c r="E209" s="173">
        <v>63</v>
      </c>
      <c r="F209" s="173" t="s">
        <v>707</v>
      </c>
      <c r="G209" s="173" t="s">
        <v>179</v>
      </c>
      <c r="H209" s="173">
        <v>61.1</v>
      </c>
      <c r="I209" s="170" t="s">
        <v>106</v>
      </c>
      <c r="J209" s="18">
        <v>1</v>
      </c>
      <c r="K209" s="30">
        <v>3</v>
      </c>
      <c r="L209" s="18">
        <v>4</v>
      </c>
      <c r="M209" s="168"/>
      <c r="N209" s="168"/>
    </row>
    <row r="210" spans="3:14" ht="15.75">
      <c r="C210" s="18">
        <f>1+C209</f>
        <v>3</v>
      </c>
      <c r="D210" s="18" t="s">
        <v>71</v>
      </c>
      <c r="E210" s="173">
        <v>63</v>
      </c>
      <c r="F210" s="173" t="s">
        <v>309</v>
      </c>
      <c r="G210" s="173" t="s">
        <v>366</v>
      </c>
      <c r="H210" s="173">
        <v>24.9</v>
      </c>
      <c r="I210" s="170" t="s">
        <v>106</v>
      </c>
      <c r="J210" s="18">
        <v>1</v>
      </c>
      <c r="K210" s="30">
        <v>3</v>
      </c>
      <c r="L210" s="18">
        <v>4</v>
      </c>
      <c r="M210" s="168"/>
      <c r="N210" s="168"/>
    </row>
    <row r="211" spans="3:14" ht="15.75">
      <c r="C211" s="18">
        <f t="shared" ref="C211:C250" si="5">1+C210</f>
        <v>4</v>
      </c>
      <c r="D211" s="18" t="s">
        <v>71</v>
      </c>
      <c r="E211" s="173">
        <v>63</v>
      </c>
      <c r="F211" s="173" t="s">
        <v>366</v>
      </c>
      <c r="G211" s="173" t="s">
        <v>760</v>
      </c>
      <c r="H211" s="173">
        <v>47.2</v>
      </c>
      <c r="I211" s="170" t="s">
        <v>106</v>
      </c>
      <c r="J211" s="18">
        <v>1</v>
      </c>
      <c r="K211" s="30">
        <v>3</v>
      </c>
      <c r="L211" s="18">
        <v>4</v>
      </c>
      <c r="M211" s="168"/>
      <c r="N211" s="168"/>
    </row>
    <row r="212" spans="3:14" ht="15.75">
      <c r="C212" s="18">
        <f t="shared" si="5"/>
        <v>5</v>
      </c>
      <c r="D212" s="18" t="s">
        <v>71</v>
      </c>
      <c r="E212" s="173">
        <v>63</v>
      </c>
      <c r="F212" s="173" t="s">
        <v>366</v>
      </c>
      <c r="G212" s="173" t="s">
        <v>760</v>
      </c>
      <c r="H212" s="173">
        <v>29.1</v>
      </c>
      <c r="I212" s="170" t="s">
        <v>106</v>
      </c>
      <c r="J212" s="18">
        <v>1</v>
      </c>
      <c r="K212" s="30">
        <v>3</v>
      </c>
      <c r="L212" s="18">
        <v>4</v>
      </c>
      <c r="M212" s="168"/>
      <c r="N212" s="168"/>
    </row>
    <row r="213" spans="3:14" ht="15.75">
      <c r="C213" s="18">
        <f t="shared" si="5"/>
        <v>6</v>
      </c>
      <c r="D213" s="18" t="s">
        <v>71</v>
      </c>
      <c r="E213" s="173">
        <v>63</v>
      </c>
      <c r="F213" s="173" t="s">
        <v>760</v>
      </c>
      <c r="G213" s="173" t="s">
        <v>334</v>
      </c>
      <c r="H213" s="173">
        <v>51.4</v>
      </c>
      <c r="I213" s="170" t="s">
        <v>106</v>
      </c>
      <c r="J213" s="18">
        <v>1</v>
      </c>
      <c r="K213" s="30">
        <v>3</v>
      </c>
      <c r="L213" s="18">
        <v>4</v>
      </c>
      <c r="M213" s="168"/>
      <c r="N213" s="168"/>
    </row>
    <row r="214" spans="3:14" ht="15.75">
      <c r="C214" s="18">
        <f t="shared" si="5"/>
        <v>7</v>
      </c>
      <c r="D214" s="18" t="s">
        <v>71</v>
      </c>
      <c r="E214" s="173">
        <v>63</v>
      </c>
      <c r="F214" s="173" t="s">
        <v>760</v>
      </c>
      <c r="G214" s="173" t="s">
        <v>312</v>
      </c>
      <c r="H214" s="173">
        <v>75.099999999999994</v>
      </c>
      <c r="I214" s="170" t="s">
        <v>106</v>
      </c>
      <c r="J214" s="18">
        <v>1</v>
      </c>
      <c r="K214" s="30">
        <v>3</v>
      </c>
      <c r="L214" s="18">
        <v>4</v>
      </c>
      <c r="M214" s="168"/>
      <c r="N214" s="168"/>
    </row>
    <row r="215" spans="3:14" ht="15.75">
      <c r="C215" s="18">
        <f t="shared" si="5"/>
        <v>8</v>
      </c>
      <c r="D215" s="18" t="s">
        <v>71</v>
      </c>
      <c r="E215" s="173">
        <v>63</v>
      </c>
      <c r="F215" s="173" t="s">
        <v>366</v>
      </c>
      <c r="G215" s="173" t="s">
        <v>1086</v>
      </c>
      <c r="H215" s="173">
        <v>49.2</v>
      </c>
      <c r="I215" s="170" t="s">
        <v>106</v>
      </c>
      <c r="J215" s="18">
        <v>1</v>
      </c>
      <c r="K215" s="30">
        <v>3</v>
      </c>
      <c r="L215" s="18">
        <v>4</v>
      </c>
      <c r="M215" s="168"/>
      <c r="N215" s="168"/>
    </row>
    <row r="216" spans="3:14" ht="15.75">
      <c r="C216" s="18">
        <f t="shared" si="5"/>
        <v>9</v>
      </c>
      <c r="D216" s="18" t="s">
        <v>71</v>
      </c>
      <c r="E216" s="173">
        <v>63</v>
      </c>
      <c r="F216" s="173" t="s">
        <v>1086</v>
      </c>
      <c r="G216" s="173" t="s">
        <v>313</v>
      </c>
      <c r="H216" s="173">
        <v>36.1</v>
      </c>
      <c r="I216" s="170" t="s">
        <v>106</v>
      </c>
      <c r="J216" s="18">
        <v>1</v>
      </c>
      <c r="K216" s="30">
        <v>3</v>
      </c>
      <c r="L216" s="18">
        <v>4</v>
      </c>
      <c r="M216" s="168"/>
      <c r="N216" s="168"/>
    </row>
    <row r="217" spans="3:14" ht="15.75">
      <c r="C217" s="18">
        <f t="shared" si="5"/>
        <v>10</v>
      </c>
      <c r="D217" s="18" t="s">
        <v>71</v>
      </c>
      <c r="E217" s="173">
        <v>63</v>
      </c>
      <c r="F217" s="173" t="s">
        <v>1086</v>
      </c>
      <c r="G217" s="173" t="s">
        <v>1274</v>
      </c>
      <c r="H217" s="173">
        <v>16.2</v>
      </c>
      <c r="I217" s="170" t="s">
        <v>106</v>
      </c>
      <c r="J217" s="18">
        <v>1</v>
      </c>
      <c r="K217" s="30">
        <v>3</v>
      </c>
      <c r="L217" s="18">
        <v>4</v>
      </c>
      <c r="M217" s="168"/>
      <c r="N217" s="168"/>
    </row>
    <row r="218" spans="3:14" ht="15.75">
      <c r="C218" s="18">
        <f t="shared" si="5"/>
        <v>11</v>
      </c>
      <c r="D218" s="18" t="s">
        <v>71</v>
      </c>
      <c r="E218" s="173">
        <v>63</v>
      </c>
      <c r="F218" s="173" t="s">
        <v>1274</v>
      </c>
      <c r="G218" s="173" t="s">
        <v>1275</v>
      </c>
      <c r="H218" s="173">
        <v>34.6</v>
      </c>
      <c r="I218" s="170" t="s">
        <v>106</v>
      </c>
      <c r="J218" s="18">
        <v>1</v>
      </c>
      <c r="K218" s="30">
        <v>3</v>
      </c>
      <c r="L218" s="18">
        <v>4</v>
      </c>
      <c r="M218" s="168"/>
      <c r="N218" s="168"/>
    </row>
    <row r="219" spans="3:14" ht="15.75">
      <c r="C219" s="18">
        <f t="shared" si="5"/>
        <v>12</v>
      </c>
      <c r="D219" s="18" t="s">
        <v>71</v>
      </c>
      <c r="E219" s="173">
        <v>63</v>
      </c>
      <c r="F219" s="173" t="s">
        <v>1274</v>
      </c>
      <c r="G219" s="173" t="s">
        <v>354</v>
      </c>
      <c r="H219" s="173">
        <v>25.8</v>
      </c>
      <c r="I219" s="170" t="s">
        <v>106</v>
      </c>
      <c r="J219" s="18">
        <v>1</v>
      </c>
      <c r="K219" s="30">
        <v>3</v>
      </c>
      <c r="L219" s="18">
        <v>4</v>
      </c>
      <c r="M219" s="168"/>
      <c r="N219" s="168"/>
    </row>
    <row r="220" spans="3:14" ht="15.75">
      <c r="C220" s="18">
        <f t="shared" si="5"/>
        <v>13</v>
      </c>
      <c r="D220" s="18" t="s">
        <v>71</v>
      </c>
      <c r="E220" s="173">
        <v>63</v>
      </c>
      <c r="F220" s="173" t="s">
        <v>1269</v>
      </c>
      <c r="G220" s="173" t="s">
        <v>354</v>
      </c>
      <c r="H220" s="173">
        <v>13.4</v>
      </c>
      <c r="I220" s="170" t="s">
        <v>106</v>
      </c>
      <c r="J220" s="18">
        <v>1</v>
      </c>
      <c r="K220" s="30">
        <v>3</v>
      </c>
      <c r="L220" s="18">
        <v>4</v>
      </c>
      <c r="M220" s="168"/>
      <c r="N220" s="168"/>
    </row>
    <row r="221" spans="3:14" ht="15.75">
      <c r="C221" s="18">
        <f t="shared" si="5"/>
        <v>14</v>
      </c>
      <c r="D221" s="18" t="s">
        <v>71</v>
      </c>
      <c r="E221" s="173">
        <v>63</v>
      </c>
      <c r="F221" s="173" t="s">
        <v>1269</v>
      </c>
      <c r="G221" s="173" t="s">
        <v>1276</v>
      </c>
      <c r="H221" s="173">
        <v>74.900000000000006</v>
      </c>
      <c r="I221" s="170" t="s">
        <v>106</v>
      </c>
      <c r="J221" s="18">
        <v>1</v>
      </c>
      <c r="K221" s="30">
        <v>3</v>
      </c>
      <c r="L221" s="18">
        <v>4</v>
      </c>
      <c r="M221" s="168"/>
      <c r="N221" s="168"/>
    </row>
    <row r="222" spans="3:14" ht="15.75">
      <c r="C222" s="18">
        <f t="shared" si="5"/>
        <v>15</v>
      </c>
      <c r="D222" s="18" t="s">
        <v>71</v>
      </c>
      <c r="E222" s="173">
        <v>63</v>
      </c>
      <c r="F222" s="173" t="s">
        <v>385</v>
      </c>
      <c r="G222" s="173" t="s">
        <v>1269</v>
      </c>
      <c r="H222" s="173">
        <f>84.2+3.8+80.7</f>
        <v>168.7</v>
      </c>
      <c r="I222" s="170" t="s">
        <v>106</v>
      </c>
      <c r="J222" s="18">
        <v>1</v>
      </c>
      <c r="K222" s="30">
        <v>3</v>
      </c>
      <c r="L222" s="18">
        <v>4</v>
      </c>
      <c r="M222" s="168"/>
      <c r="N222" s="168"/>
    </row>
    <row r="223" spans="3:14" ht="15.75">
      <c r="C223" s="18">
        <f t="shared" si="5"/>
        <v>16</v>
      </c>
      <c r="D223" s="18" t="s">
        <v>71</v>
      </c>
      <c r="E223" s="173">
        <v>63</v>
      </c>
      <c r="F223" s="173" t="s">
        <v>385</v>
      </c>
      <c r="G223" s="173" t="s">
        <v>1277</v>
      </c>
      <c r="H223" s="173">
        <v>349.2</v>
      </c>
      <c r="I223" s="170" t="s">
        <v>106</v>
      </c>
      <c r="J223" s="18">
        <v>1</v>
      </c>
      <c r="K223" s="30">
        <v>3</v>
      </c>
      <c r="L223" s="18">
        <v>4</v>
      </c>
      <c r="M223" s="168"/>
      <c r="N223" s="168"/>
    </row>
    <row r="224" spans="3:14" ht="15.75">
      <c r="C224" s="18">
        <f t="shared" si="5"/>
        <v>17</v>
      </c>
      <c r="D224" s="18" t="s">
        <v>71</v>
      </c>
      <c r="E224" s="173">
        <v>63</v>
      </c>
      <c r="F224" s="173" t="s">
        <v>1107</v>
      </c>
      <c r="G224" s="173" t="s">
        <v>736</v>
      </c>
      <c r="H224" s="173">
        <v>232.4</v>
      </c>
      <c r="I224" s="170" t="s">
        <v>106</v>
      </c>
      <c r="J224" s="18">
        <v>1</v>
      </c>
      <c r="K224" s="30">
        <v>3</v>
      </c>
      <c r="L224" s="18">
        <v>4</v>
      </c>
      <c r="M224" s="168"/>
      <c r="N224" s="168"/>
    </row>
    <row r="225" spans="3:14" ht="15.75">
      <c r="C225" s="18">
        <f t="shared" si="5"/>
        <v>18</v>
      </c>
      <c r="D225" s="18" t="s">
        <v>71</v>
      </c>
      <c r="E225" s="173">
        <v>63</v>
      </c>
      <c r="F225" s="173" t="s">
        <v>1107</v>
      </c>
      <c r="G225" s="173" t="s">
        <v>350</v>
      </c>
      <c r="H225" s="173">
        <v>3.3</v>
      </c>
      <c r="I225" s="170" t="s">
        <v>106</v>
      </c>
      <c r="J225" s="18">
        <v>1</v>
      </c>
      <c r="K225" s="30">
        <v>3</v>
      </c>
      <c r="L225" s="18">
        <v>4</v>
      </c>
      <c r="M225" s="168"/>
      <c r="N225" s="168"/>
    </row>
    <row r="226" spans="3:14" ht="15.75">
      <c r="C226" s="18">
        <f t="shared" si="5"/>
        <v>19</v>
      </c>
      <c r="D226" s="18" t="s">
        <v>71</v>
      </c>
      <c r="E226" s="173">
        <v>63</v>
      </c>
      <c r="F226" s="173" t="s">
        <v>1107</v>
      </c>
      <c r="G226" s="173" t="s">
        <v>350</v>
      </c>
      <c r="H226" s="173">
        <v>397.3</v>
      </c>
      <c r="I226" s="170" t="s">
        <v>106</v>
      </c>
      <c r="J226" s="18">
        <v>1</v>
      </c>
      <c r="K226" s="30">
        <v>3</v>
      </c>
      <c r="L226" s="18">
        <v>4</v>
      </c>
      <c r="M226" s="168"/>
      <c r="N226" s="168"/>
    </row>
    <row r="227" spans="3:14" ht="15.75">
      <c r="C227" s="18">
        <f t="shared" si="5"/>
        <v>20</v>
      </c>
      <c r="D227" s="18" t="s">
        <v>71</v>
      </c>
      <c r="E227" s="173">
        <v>63</v>
      </c>
      <c r="F227" s="173" t="s">
        <v>350</v>
      </c>
      <c r="G227" s="173" t="s">
        <v>768</v>
      </c>
      <c r="H227" s="173">
        <v>20.3</v>
      </c>
      <c r="I227" s="170" t="s">
        <v>106</v>
      </c>
      <c r="J227" s="18">
        <v>1</v>
      </c>
      <c r="K227" s="30">
        <v>3</v>
      </c>
      <c r="L227" s="18">
        <v>4</v>
      </c>
      <c r="M227" s="168"/>
      <c r="N227" s="168"/>
    </row>
    <row r="228" spans="3:14" ht="15.75">
      <c r="C228" s="18">
        <f t="shared" si="5"/>
        <v>21</v>
      </c>
      <c r="D228" s="18" t="s">
        <v>71</v>
      </c>
      <c r="E228" s="173">
        <v>63</v>
      </c>
      <c r="F228" s="173" t="s">
        <v>768</v>
      </c>
      <c r="G228" s="173" t="s">
        <v>123</v>
      </c>
      <c r="H228" s="173">
        <v>98.9</v>
      </c>
      <c r="I228" s="170" t="s">
        <v>106</v>
      </c>
      <c r="J228" s="18">
        <v>1</v>
      </c>
      <c r="K228" s="30">
        <v>3</v>
      </c>
      <c r="L228" s="18">
        <v>4</v>
      </c>
      <c r="M228" s="168"/>
      <c r="N228" s="168"/>
    </row>
    <row r="229" spans="3:14" ht="15.75">
      <c r="C229" s="18">
        <f t="shared" si="5"/>
        <v>22</v>
      </c>
      <c r="D229" s="18" t="s">
        <v>71</v>
      </c>
      <c r="E229" s="173">
        <v>63</v>
      </c>
      <c r="F229" s="173" t="s">
        <v>123</v>
      </c>
      <c r="G229" s="173" t="s">
        <v>1105</v>
      </c>
      <c r="H229" s="173">
        <v>38</v>
      </c>
      <c r="I229" s="170" t="s">
        <v>106</v>
      </c>
      <c r="J229" s="18">
        <v>1</v>
      </c>
      <c r="K229" s="30">
        <v>3</v>
      </c>
      <c r="L229" s="18">
        <v>4</v>
      </c>
      <c r="M229" s="168"/>
      <c r="N229" s="168"/>
    </row>
    <row r="230" spans="3:14" ht="15.75">
      <c r="C230" s="18">
        <f t="shared" si="5"/>
        <v>23</v>
      </c>
      <c r="D230" s="18" t="s">
        <v>71</v>
      </c>
      <c r="E230" s="173">
        <v>63</v>
      </c>
      <c r="F230" s="173" t="s">
        <v>1105</v>
      </c>
      <c r="G230" s="173" t="s">
        <v>83</v>
      </c>
      <c r="H230" s="173">
        <v>58.2</v>
      </c>
      <c r="I230" s="170" t="s">
        <v>106</v>
      </c>
      <c r="J230" s="18">
        <v>1</v>
      </c>
      <c r="K230" s="30">
        <v>3</v>
      </c>
      <c r="L230" s="18">
        <v>4</v>
      </c>
      <c r="M230" s="168"/>
      <c r="N230" s="168"/>
    </row>
    <row r="231" spans="3:14" ht="15.75">
      <c r="C231" s="18">
        <f t="shared" si="5"/>
        <v>24</v>
      </c>
      <c r="D231" s="18" t="s">
        <v>71</v>
      </c>
      <c r="E231" s="173">
        <v>63</v>
      </c>
      <c r="F231" s="173" t="s">
        <v>1105</v>
      </c>
      <c r="G231" s="173" t="s">
        <v>1106</v>
      </c>
      <c r="H231" s="173">
        <v>13.4</v>
      </c>
      <c r="I231" s="170" t="s">
        <v>106</v>
      </c>
      <c r="J231" s="18">
        <v>1</v>
      </c>
      <c r="K231" s="30">
        <v>3</v>
      </c>
      <c r="L231" s="18">
        <v>4</v>
      </c>
      <c r="M231" s="168"/>
      <c r="N231" s="168"/>
    </row>
    <row r="232" spans="3:14" ht="15.75">
      <c r="C232" s="18">
        <f t="shared" si="5"/>
        <v>25</v>
      </c>
      <c r="D232" s="18" t="s">
        <v>71</v>
      </c>
      <c r="E232" s="173">
        <v>63</v>
      </c>
      <c r="F232" s="173" t="s">
        <v>83</v>
      </c>
      <c r="G232" s="173" t="s">
        <v>1278</v>
      </c>
      <c r="H232" s="173">
        <v>63.5</v>
      </c>
      <c r="I232" s="170" t="s">
        <v>106</v>
      </c>
      <c r="J232" s="18">
        <v>1</v>
      </c>
      <c r="K232" s="30">
        <v>3</v>
      </c>
      <c r="L232" s="18">
        <v>4</v>
      </c>
      <c r="M232" s="168"/>
      <c r="N232" s="168"/>
    </row>
    <row r="233" spans="3:14" ht="15.75">
      <c r="C233" s="18">
        <f t="shared" si="5"/>
        <v>26</v>
      </c>
      <c r="D233" s="18" t="s">
        <v>71</v>
      </c>
      <c r="E233" s="173">
        <v>63</v>
      </c>
      <c r="F233" s="173" t="s">
        <v>83</v>
      </c>
      <c r="G233" s="173" t="s">
        <v>430</v>
      </c>
      <c r="H233" s="173">
        <v>98.1</v>
      </c>
      <c r="I233" s="170" t="s">
        <v>106</v>
      </c>
      <c r="J233" s="18">
        <v>1</v>
      </c>
      <c r="K233" s="30">
        <v>3</v>
      </c>
      <c r="L233" s="18">
        <v>4</v>
      </c>
      <c r="M233" s="168"/>
      <c r="N233" s="168"/>
    </row>
    <row r="234" spans="3:14" ht="15.75">
      <c r="C234" s="18">
        <f t="shared" si="5"/>
        <v>27</v>
      </c>
      <c r="D234" s="18" t="s">
        <v>71</v>
      </c>
      <c r="E234" s="173">
        <v>63</v>
      </c>
      <c r="F234" s="173" t="s">
        <v>123</v>
      </c>
      <c r="G234" s="173" t="s">
        <v>350</v>
      </c>
      <c r="H234" s="173">
        <v>101.3</v>
      </c>
      <c r="I234" s="170" t="s">
        <v>106</v>
      </c>
      <c r="J234" s="18">
        <v>1</v>
      </c>
      <c r="K234" s="30">
        <v>3</v>
      </c>
      <c r="L234" s="18">
        <v>4</v>
      </c>
      <c r="M234" s="168"/>
      <c r="N234" s="168"/>
    </row>
    <row r="235" spans="3:14" ht="15.75">
      <c r="C235" s="18">
        <f t="shared" si="5"/>
        <v>28</v>
      </c>
      <c r="D235" s="18" t="s">
        <v>71</v>
      </c>
      <c r="E235" s="173">
        <v>63</v>
      </c>
      <c r="F235" s="173" t="s">
        <v>768</v>
      </c>
      <c r="G235" s="173" t="s">
        <v>183</v>
      </c>
      <c r="H235" s="173">
        <v>174.9</v>
      </c>
      <c r="I235" s="170" t="s">
        <v>106</v>
      </c>
      <c r="J235" s="18">
        <v>1</v>
      </c>
      <c r="K235" s="30">
        <v>3</v>
      </c>
      <c r="L235" s="18">
        <v>4</v>
      </c>
      <c r="M235" s="168"/>
      <c r="N235" s="168"/>
    </row>
    <row r="236" spans="3:14" ht="15.75">
      <c r="C236" s="18">
        <f t="shared" si="5"/>
        <v>29</v>
      </c>
      <c r="D236" s="18" t="s">
        <v>71</v>
      </c>
      <c r="E236" s="173">
        <v>63</v>
      </c>
      <c r="F236" s="173" t="s">
        <v>768</v>
      </c>
      <c r="G236" s="173" t="s">
        <v>183</v>
      </c>
      <c r="H236" s="173">
        <v>22.7</v>
      </c>
      <c r="I236" s="170" t="s">
        <v>106</v>
      </c>
      <c r="J236" s="18">
        <v>1</v>
      </c>
      <c r="K236" s="30">
        <v>3</v>
      </c>
      <c r="L236" s="18">
        <v>4</v>
      </c>
      <c r="M236" s="168"/>
      <c r="N236" s="168"/>
    </row>
    <row r="237" spans="3:14" ht="15.75">
      <c r="C237" s="18">
        <f t="shared" si="5"/>
        <v>30</v>
      </c>
      <c r="D237" s="18" t="s">
        <v>71</v>
      </c>
      <c r="E237" s="173">
        <v>63</v>
      </c>
      <c r="F237" s="173" t="s">
        <v>451</v>
      </c>
      <c r="G237" s="173" t="s">
        <v>167</v>
      </c>
      <c r="H237" s="173">
        <v>78.400000000000006</v>
      </c>
      <c r="I237" s="170" t="s">
        <v>106</v>
      </c>
      <c r="J237" s="18">
        <v>1</v>
      </c>
      <c r="K237" s="30">
        <v>3</v>
      </c>
      <c r="L237" s="18">
        <v>4</v>
      </c>
      <c r="M237" s="168"/>
      <c r="N237" s="168"/>
    </row>
    <row r="238" spans="3:14" ht="15.75">
      <c r="C238" s="18">
        <f t="shared" si="5"/>
        <v>31</v>
      </c>
      <c r="D238" s="18" t="s">
        <v>71</v>
      </c>
      <c r="E238" s="173">
        <v>63</v>
      </c>
      <c r="F238" s="173" t="s">
        <v>167</v>
      </c>
      <c r="G238" s="173" t="s">
        <v>168</v>
      </c>
      <c r="H238" s="173">
        <v>51.1</v>
      </c>
      <c r="I238" s="170" t="s">
        <v>106</v>
      </c>
      <c r="J238" s="18">
        <v>1</v>
      </c>
      <c r="K238" s="30">
        <v>3</v>
      </c>
      <c r="L238" s="18">
        <v>4</v>
      </c>
      <c r="M238" s="168"/>
      <c r="N238" s="168"/>
    </row>
    <row r="239" spans="3:14" ht="15.75">
      <c r="C239" s="18">
        <f t="shared" si="5"/>
        <v>32</v>
      </c>
      <c r="D239" s="18" t="s">
        <v>71</v>
      </c>
      <c r="E239" s="173">
        <v>63</v>
      </c>
      <c r="F239" s="173" t="s">
        <v>167</v>
      </c>
      <c r="G239" s="173" t="s">
        <v>116</v>
      </c>
      <c r="H239" s="173">
        <v>66.599999999999994</v>
      </c>
      <c r="I239" s="170" t="s">
        <v>106</v>
      </c>
      <c r="J239" s="18">
        <v>1</v>
      </c>
      <c r="K239" s="30">
        <v>3</v>
      </c>
      <c r="L239" s="18">
        <v>4</v>
      </c>
      <c r="M239" s="168"/>
      <c r="N239" s="168"/>
    </row>
    <row r="240" spans="3:14" ht="15.75">
      <c r="C240" s="18">
        <f t="shared" si="5"/>
        <v>33</v>
      </c>
      <c r="D240" s="18" t="s">
        <v>71</v>
      </c>
      <c r="E240" s="173">
        <v>63</v>
      </c>
      <c r="F240" s="173" t="s">
        <v>116</v>
      </c>
      <c r="G240" s="173" t="s">
        <v>1279</v>
      </c>
      <c r="H240" s="173">
        <f>27.1+88.3</f>
        <v>115.4</v>
      </c>
      <c r="I240" s="170" t="s">
        <v>106</v>
      </c>
      <c r="J240" s="18">
        <v>1</v>
      </c>
      <c r="K240" s="30">
        <v>3</v>
      </c>
      <c r="L240" s="18">
        <v>4</v>
      </c>
      <c r="M240" s="168"/>
      <c r="N240" s="168"/>
    </row>
    <row r="241" spans="3:14" ht="15.75">
      <c r="C241" s="18">
        <f t="shared" si="5"/>
        <v>34</v>
      </c>
      <c r="D241" s="18" t="s">
        <v>71</v>
      </c>
      <c r="E241" s="173">
        <v>63</v>
      </c>
      <c r="F241" s="173" t="s">
        <v>1279</v>
      </c>
      <c r="G241" s="173" t="s">
        <v>1280</v>
      </c>
      <c r="H241" s="173">
        <v>65.599999999999994</v>
      </c>
      <c r="I241" s="170" t="s">
        <v>106</v>
      </c>
      <c r="J241" s="18">
        <v>1</v>
      </c>
      <c r="K241" s="30">
        <v>3</v>
      </c>
      <c r="L241" s="18">
        <v>4</v>
      </c>
      <c r="M241" s="168"/>
      <c r="N241" s="168"/>
    </row>
    <row r="242" spans="3:14" ht="15.75">
      <c r="C242" s="18">
        <f t="shared" si="5"/>
        <v>35</v>
      </c>
      <c r="D242" s="18" t="s">
        <v>71</v>
      </c>
      <c r="E242" s="173">
        <v>63</v>
      </c>
      <c r="F242" s="173" t="s">
        <v>1279</v>
      </c>
      <c r="G242" s="173" t="s">
        <v>219</v>
      </c>
      <c r="H242" s="173">
        <v>5.2</v>
      </c>
      <c r="I242" s="170" t="s">
        <v>106</v>
      </c>
      <c r="J242" s="18">
        <v>1</v>
      </c>
      <c r="K242" s="30">
        <v>3</v>
      </c>
      <c r="L242" s="18">
        <v>4</v>
      </c>
      <c r="M242" s="168"/>
      <c r="N242" s="168"/>
    </row>
    <row r="243" spans="3:14" ht="15.75">
      <c r="C243" s="18">
        <f t="shared" si="5"/>
        <v>36</v>
      </c>
      <c r="D243" s="18" t="s">
        <v>71</v>
      </c>
      <c r="E243" s="173">
        <v>63</v>
      </c>
      <c r="F243" s="173" t="s">
        <v>1279</v>
      </c>
      <c r="G243" s="173" t="s">
        <v>219</v>
      </c>
      <c r="H243" s="173">
        <f>23+31.8</f>
        <v>54.8</v>
      </c>
      <c r="I243" s="170" t="s">
        <v>106</v>
      </c>
      <c r="J243" s="18">
        <v>1</v>
      </c>
      <c r="K243" s="30">
        <v>3</v>
      </c>
      <c r="L243" s="18">
        <v>4</v>
      </c>
      <c r="M243" s="168"/>
      <c r="N243" s="168"/>
    </row>
    <row r="244" spans="3:14" ht="15.75">
      <c r="C244" s="18">
        <f t="shared" si="5"/>
        <v>37</v>
      </c>
      <c r="D244" s="18" t="s">
        <v>71</v>
      </c>
      <c r="E244" s="173">
        <v>63</v>
      </c>
      <c r="F244" s="173" t="s">
        <v>219</v>
      </c>
      <c r="G244" s="173" t="s">
        <v>294</v>
      </c>
      <c r="H244" s="173">
        <v>57.5</v>
      </c>
      <c r="I244" s="170" t="s">
        <v>106</v>
      </c>
      <c r="J244" s="18">
        <v>1</v>
      </c>
      <c r="K244" s="30">
        <v>3</v>
      </c>
      <c r="L244" s="18">
        <v>4</v>
      </c>
      <c r="M244" s="168"/>
      <c r="N244" s="168"/>
    </row>
    <row r="245" spans="3:14" ht="15.75">
      <c r="C245" s="18">
        <f t="shared" si="5"/>
        <v>38</v>
      </c>
      <c r="D245" s="18" t="s">
        <v>71</v>
      </c>
      <c r="E245" s="173">
        <v>63</v>
      </c>
      <c r="F245" s="173" t="s">
        <v>354</v>
      </c>
      <c r="G245" s="173" t="s">
        <v>1274</v>
      </c>
      <c r="H245" s="182">
        <v>24.9</v>
      </c>
      <c r="I245" s="175" t="s">
        <v>106</v>
      </c>
      <c r="J245" s="18">
        <v>1</v>
      </c>
      <c r="K245" s="30">
        <v>3</v>
      </c>
      <c r="L245" s="18">
        <v>4</v>
      </c>
      <c r="M245" s="174"/>
      <c r="N245" s="174"/>
    </row>
    <row r="246" spans="3:14" ht="15.75">
      <c r="C246" s="18">
        <f t="shared" si="5"/>
        <v>39</v>
      </c>
      <c r="D246" s="18" t="s">
        <v>71</v>
      </c>
      <c r="E246" s="173">
        <v>63</v>
      </c>
      <c r="F246" s="173" t="s">
        <v>1274</v>
      </c>
      <c r="G246" s="173" t="s">
        <v>1086</v>
      </c>
      <c r="H246" s="182">
        <v>15.7</v>
      </c>
      <c r="I246" s="175" t="s">
        <v>106</v>
      </c>
      <c r="J246" s="18">
        <v>1</v>
      </c>
      <c r="K246" s="30">
        <v>3</v>
      </c>
      <c r="L246" s="18">
        <v>4</v>
      </c>
      <c r="M246" s="174"/>
      <c r="N246" s="174"/>
    </row>
    <row r="247" spans="3:14" ht="15.75">
      <c r="C247" s="18">
        <f t="shared" si="5"/>
        <v>40</v>
      </c>
      <c r="D247" s="18" t="s">
        <v>71</v>
      </c>
      <c r="E247" s="173">
        <v>63</v>
      </c>
      <c r="F247" s="173" t="s">
        <v>1086</v>
      </c>
      <c r="G247" s="173" t="s">
        <v>1281</v>
      </c>
      <c r="H247" s="182">
        <v>12.9</v>
      </c>
      <c r="I247" s="175" t="s">
        <v>106</v>
      </c>
      <c r="J247" s="18">
        <v>1</v>
      </c>
      <c r="K247" s="30">
        <v>3</v>
      </c>
      <c r="L247" s="18">
        <v>4</v>
      </c>
      <c r="M247" s="174"/>
      <c r="N247" s="174"/>
    </row>
    <row r="248" spans="3:14" ht="15.75">
      <c r="C248" s="18">
        <f t="shared" si="5"/>
        <v>41</v>
      </c>
      <c r="D248" s="18" t="s">
        <v>71</v>
      </c>
      <c r="E248" s="173">
        <v>63</v>
      </c>
      <c r="F248" s="173" t="s">
        <v>1281</v>
      </c>
      <c r="G248" s="173" t="s">
        <v>1282</v>
      </c>
      <c r="H248" s="182">
        <v>38.799999999999997</v>
      </c>
      <c r="I248" s="175" t="s">
        <v>106</v>
      </c>
      <c r="J248" s="18">
        <v>1</v>
      </c>
      <c r="K248" s="30">
        <v>3</v>
      </c>
      <c r="L248" s="18">
        <v>4</v>
      </c>
      <c r="M248" s="174"/>
      <c r="N248" s="174"/>
    </row>
    <row r="249" spans="3:14" ht="15.75">
      <c r="C249" s="18">
        <f t="shared" si="5"/>
        <v>42</v>
      </c>
      <c r="D249" s="18" t="s">
        <v>71</v>
      </c>
      <c r="E249" s="173">
        <v>63</v>
      </c>
      <c r="F249" s="173" t="s">
        <v>1281</v>
      </c>
      <c r="G249" s="173" t="s">
        <v>366</v>
      </c>
      <c r="H249" s="182">
        <v>36.6</v>
      </c>
      <c r="I249" s="175" t="s">
        <v>106</v>
      </c>
      <c r="J249" s="18">
        <v>1</v>
      </c>
      <c r="K249" s="30">
        <v>3</v>
      </c>
      <c r="L249" s="18">
        <v>4</v>
      </c>
      <c r="M249" s="174"/>
      <c r="N249" s="174"/>
    </row>
    <row r="250" spans="3:14" ht="15.75">
      <c r="C250" s="18">
        <f t="shared" si="5"/>
        <v>43</v>
      </c>
      <c r="D250" s="18" t="s">
        <v>71</v>
      </c>
      <c r="E250" s="173">
        <v>63</v>
      </c>
      <c r="F250" s="173" t="s">
        <v>309</v>
      </c>
      <c r="G250" s="173" t="s">
        <v>188</v>
      </c>
      <c r="H250" s="182">
        <v>31.3</v>
      </c>
      <c r="I250" s="175" t="s">
        <v>106</v>
      </c>
      <c r="J250" s="18">
        <v>1</v>
      </c>
      <c r="K250" s="30">
        <v>3</v>
      </c>
      <c r="L250" s="18">
        <v>4</v>
      </c>
      <c r="M250" s="174"/>
      <c r="N250" s="174"/>
    </row>
    <row r="251" spans="3:14">
      <c r="C251" s="18"/>
      <c r="D251" s="18"/>
      <c r="E251" s="175"/>
      <c r="F251" s="175"/>
      <c r="G251" s="175"/>
      <c r="H251" s="175"/>
      <c r="I251" s="175"/>
      <c r="J251" s="18"/>
      <c r="K251" s="30"/>
      <c r="L251" s="18"/>
      <c r="M251" s="174"/>
      <c r="N251" s="174"/>
    </row>
    <row r="252" spans="3:14">
      <c r="C252" s="18"/>
      <c r="D252" s="18"/>
      <c r="E252" s="170"/>
      <c r="F252" s="170"/>
      <c r="G252" s="170"/>
      <c r="H252" s="170"/>
      <c r="I252" s="170"/>
      <c r="J252" s="18"/>
      <c r="K252" s="30"/>
      <c r="L252" s="18"/>
      <c r="M252" s="168"/>
      <c r="N252" s="168"/>
    </row>
    <row r="253" spans="3:14">
      <c r="C253" s="374"/>
      <c r="D253" s="374"/>
      <c r="E253" s="374"/>
      <c r="F253" s="374"/>
      <c r="G253" s="374"/>
      <c r="H253" s="374"/>
      <c r="I253" s="374"/>
      <c r="J253" s="374"/>
      <c r="K253" s="374"/>
      <c r="L253" s="374"/>
      <c r="M253" s="374"/>
      <c r="N253" s="374"/>
    </row>
    <row r="254" spans="3:14">
      <c r="C254" s="324"/>
      <c r="D254" s="324"/>
      <c r="E254" s="325" t="s">
        <v>86</v>
      </c>
      <c r="F254" s="325"/>
      <c r="G254" s="325"/>
      <c r="H254" s="325"/>
      <c r="I254" s="325" t="s">
        <v>87</v>
      </c>
      <c r="J254" s="325"/>
      <c r="K254" s="325"/>
      <c r="L254" s="325" t="s">
        <v>39</v>
      </c>
      <c r="M254" s="325"/>
      <c r="N254" s="325"/>
    </row>
    <row r="255" spans="3:14">
      <c r="C255" s="295" t="s">
        <v>40</v>
      </c>
      <c r="D255" s="295"/>
      <c r="E255" s="317"/>
      <c r="F255" s="317"/>
      <c r="G255" s="317"/>
      <c r="H255" s="317"/>
      <c r="I255" s="317"/>
      <c r="J255" s="317"/>
      <c r="K255" s="317"/>
      <c r="L255" s="317"/>
      <c r="M255" s="317"/>
      <c r="N255" s="317"/>
    </row>
    <row r="256" spans="3:14">
      <c r="C256" s="295" t="s">
        <v>41</v>
      </c>
      <c r="D256" s="295"/>
      <c r="E256" s="317"/>
      <c r="F256" s="317"/>
      <c r="G256" s="317"/>
      <c r="H256" s="317"/>
      <c r="I256" s="317"/>
      <c r="J256" s="317"/>
      <c r="K256" s="317"/>
      <c r="L256" s="317"/>
      <c r="M256" s="317"/>
      <c r="N256" s="317"/>
    </row>
    <row r="257" spans="3:14">
      <c r="C257" s="295" t="s">
        <v>42</v>
      </c>
      <c r="D257" s="295"/>
      <c r="E257" s="317"/>
      <c r="F257" s="317"/>
      <c r="G257" s="317"/>
      <c r="H257" s="317"/>
      <c r="I257" s="317"/>
      <c r="J257" s="317"/>
      <c r="K257" s="317"/>
      <c r="L257" s="317"/>
      <c r="M257" s="317"/>
      <c r="N257" s="317"/>
    </row>
    <row r="258" spans="3:14">
      <c r="C258" s="295" t="s">
        <v>43</v>
      </c>
      <c r="D258" s="295"/>
      <c r="E258" s="315"/>
      <c r="F258" s="316"/>
      <c r="G258" s="316"/>
      <c r="H258" s="316"/>
      <c r="I258" s="317"/>
      <c r="J258" s="317"/>
      <c r="K258" s="317"/>
      <c r="L258" s="317"/>
      <c r="M258" s="317"/>
      <c r="N258" s="317"/>
    </row>
  </sheetData>
  <mergeCells count="164">
    <mergeCell ref="H16:H17"/>
    <mergeCell ref="I16:I17"/>
    <mergeCell ref="J16:L16"/>
    <mergeCell ref="M16:M17"/>
    <mergeCell ref="C4:C7"/>
    <mergeCell ref="D4:K7"/>
    <mergeCell ref="C8:D8"/>
    <mergeCell ref="C9:D9"/>
    <mergeCell ref="C10:D10"/>
    <mergeCell ref="C11:D11"/>
    <mergeCell ref="C12:N12"/>
    <mergeCell ref="C14:N14"/>
    <mergeCell ref="D15:H15"/>
    <mergeCell ref="I15:N15"/>
    <mergeCell ref="N16:N17"/>
    <mergeCell ref="C50:N50"/>
    <mergeCell ref="C51:D51"/>
    <mergeCell ref="E51:H51"/>
    <mergeCell ref="I51:K51"/>
    <mergeCell ref="L51:N51"/>
    <mergeCell ref="L54:N54"/>
    <mergeCell ref="C55:D55"/>
    <mergeCell ref="E55:H55"/>
    <mergeCell ref="I55:K55"/>
    <mergeCell ref="L55:N55"/>
    <mergeCell ref="C52:D52"/>
    <mergeCell ref="E52:H52"/>
    <mergeCell ref="I52:K52"/>
    <mergeCell ref="L52:N52"/>
    <mergeCell ref="C53:D53"/>
    <mergeCell ref="E53:H53"/>
    <mergeCell ref="I53:K53"/>
    <mergeCell ref="L53:N53"/>
    <mergeCell ref="C16:C17"/>
    <mergeCell ref="D16:D17"/>
    <mergeCell ref="E16:E17"/>
    <mergeCell ref="F16:F17"/>
    <mergeCell ref="G16:G17"/>
    <mergeCell ref="C58:C61"/>
    <mergeCell ref="D58:K61"/>
    <mergeCell ref="C62:D62"/>
    <mergeCell ref="C63:D63"/>
    <mergeCell ref="C64:D64"/>
    <mergeCell ref="C65:D65"/>
    <mergeCell ref="C54:D54"/>
    <mergeCell ref="E54:H54"/>
    <mergeCell ref="I54:K54"/>
    <mergeCell ref="C66:N66"/>
    <mergeCell ref="C68:N68"/>
    <mergeCell ref="D69:H69"/>
    <mergeCell ref="I69:N69"/>
    <mergeCell ref="C70:C71"/>
    <mergeCell ref="D70:D71"/>
    <mergeCell ref="E70:E71"/>
    <mergeCell ref="F70:F71"/>
    <mergeCell ref="G70:G71"/>
    <mergeCell ref="H70:H71"/>
    <mergeCell ref="I70:I71"/>
    <mergeCell ref="J70:L70"/>
    <mergeCell ref="M70:M71"/>
    <mergeCell ref="N70:N71"/>
    <mergeCell ref="C110:N110"/>
    <mergeCell ref="C111:D111"/>
    <mergeCell ref="E111:H111"/>
    <mergeCell ref="I111:K111"/>
    <mergeCell ref="L111:N111"/>
    <mergeCell ref="L114:N114"/>
    <mergeCell ref="C115:D115"/>
    <mergeCell ref="E115:H115"/>
    <mergeCell ref="I115:K115"/>
    <mergeCell ref="L115:N115"/>
    <mergeCell ref="C112:D112"/>
    <mergeCell ref="E112:H112"/>
    <mergeCell ref="I112:K112"/>
    <mergeCell ref="L112:N112"/>
    <mergeCell ref="C113:D113"/>
    <mergeCell ref="E113:H113"/>
    <mergeCell ref="I113:K113"/>
    <mergeCell ref="L113:N113"/>
    <mergeCell ref="C118:C121"/>
    <mergeCell ref="D118:K121"/>
    <mergeCell ref="C122:D122"/>
    <mergeCell ref="C123:D123"/>
    <mergeCell ref="C124:D124"/>
    <mergeCell ref="C125:D125"/>
    <mergeCell ref="C114:D114"/>
    <mergeCell ref="E114:H114"/>
    <mergeCell ref="I114:K114"/>
    <mergeCell ref="C126:N126"/>
    <mergeCell ref="C128:N128"/>
    <mergeCell ref="D129:H129"/>
    <mergeCell ref="I129:N129"/>
    <mergeCell ref="C130:C131"/>
    <mergeCell ref="D130:D131"/>
    <mergeCell ref="E130:E131"/>
    <mergeCell ref="F130:F131"/>
    <mergeCell ref="G130:G131"/>
    <mergeCell ref="H130:H131"/>
    <mergeCell ref="I130:I131"/>
    <mergeCell ref="J130:L130"/>
    <mergeCell ref="M130:M131"/>
    <mergeCell ref="N130:N131"/>
    <mergeCell ref="C186:N186"/>
    <mergeCell ref="C187:D187"/>
    <mergeCell ref="E187:H187"/>
    <mergeCell ref="I187:K187"/>
    <mergeCell ref="L187:N187"/>
    <mergeCell ref="L190:N190"/>
    <mergeCell ref="C191:D191"/>
    <mergeCell ref="E191:H191"/>
    <mergeCell ref="I191:K191"/>
    <mergeCell ref="L191:N191"/>
    <mergeCell ref="C188:D188"/>
    <mergeCell ref="E188:H188"/>
    <mergeCell ref="I188:K188"/>
    <mergeCell ref="L188:N188"/>
    <mergeCell ref="C189:D189"/>
    <mergeCell ref="E189:H189"/>
    <mergeCell ref="I189:K189"/>
    <mergeCell ref="L189:N189"/>
    <mergeCell ref="C194:C197"/>
    <mergeCell ref="D194:K197"/>
    <mergeCell ref="C198:D198"/>
    <mergeCell ref="C199:D199"/>
    <mergeCell ref="C200:D200"/>
    <mergeCell ref="C201:D201"/>
    <mergeCell ref="C190:D190"/>
    <mergeCell ref="E190:H190"/>
    <mergeCell ref="I190:K190"/>
    <mergeCell ref="C202:N202"/>
    <mergeCell ref="C204:N204"/>
    <mergeCell ref="D205:H205"/>
    <mergeCell ref="I205:N205"/>
    <mergeCell ref="C206:C207"/>
    <mergeCell ref="D206:D207"/>
    <mergeCell ref="E206:E207"/>
    <mergeCell ref="F206:F207"/>
    <mergeCell ref="G206:G207"/>
    <mergeCell ref="H206:H207"/>
    <mergeCell ref="I206:I207"/>
    <mergeCell ref="J206:L206"/>
    <mergeCell ref="M206:M207"/>
    <mergeCell ref="N206:N207"/>
    <mergeCell ref="C253:N253"/>
    <mergeCell ref="C254:D254"/>
    <mergeCell ref="E254:H254"/>
    <mergeCell ref="I254:K254"/>
    <mergeCell ref="L254:N254"/>
    <mergeCell ref="C257:D257"/>
    <mergeCell ref="E257:H257"/>
    <mergeCell ref="I257:K257"/>
    <mergeCell ref="L257:N257"/>
    <mergeCell ref="C258:D258"/>
    <mergeCell ref="E258:H258"/>
    <mergeCell ref="I258:K258"/>
    <mergeCell ref="L258:N258"/>
    <mergeCell ref="C255:D255"/>
    <mergeCell ref="E255:H255"/>
    <mergeCell ref="I255:K255"/>
    <mergeCell ref="L255:N255"/>
    <mergeCell ref="C256:D256"/>
    <mergeCell ref="E256:H256"/>
    <mergeCell ref="I256:K256"/>
    <mergeCell ref="L256:N256"/>
  </mergeCells>
  <pageMargins left="0.7" right="0.7" top="0.75" bottom="0.75" header="0.3" footer="0.3"/>
  <pageSetup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4:O331"/>
  <sheetViews>
    <sheetView tabSelected="1" topLeftCell="A247" workbookViewId="0">
      <selection activeCell="S255" sqref="S255"/>
    </sheetView>
  </sheetViews>
  <sheetFormatPr defaultRowHeight="15"/>
  <sheetData>
    <row r="4" spans="4:15" ht="15.75" thickBot="1"/>
    <row r="5" spans="4:15">
      <c r="D5" s="206"/>
      <c r="E5" s="211" t="s">
        <v>44</v>
      </c>
      <c r="F5" s="212"/>
      <c r="G5" s="212"/>
      <c r="H5" s="212"/>
      <c r="I5" s="212"/>
      <c r="J5" s="212"/>
      <c r="K5" s="212"/>
      <c r="L5" s="212"/>
      <c r="M5" s="20"/>
      <c r="N5" s="20"/>
      <c r="O5" s="21"/>
    </row>
    <row r="6" spans="4:15">
      <c r="D6" s="207"/>
      <c r="E6" s="214"/>
      <c r="F6" s="215"/>
      <c r="G6" s="215"/>
      <c r="H6" s="215"/>
      <c r="I6" s="215"/>
      <c r="J6" s="215"/>
      <c r="K6" s="215"/>
      <c r="L6" s="215"/>
      <c r="O6" s="22"/>
    </row>
    <row r="7" spans="4:15">
      <c r="D7" s="207"/>
      <c r="E7" s="214"/>
      <c r="F7" s="215"/>
      <c r="G7" s="215"/>
      <c r="H7" s="215"/>
      <c r="I7" s="215"/>
      <c r="J7" s="215"/>
      <c r="K7" s="215"/>
      <c r="L7" s="215"/>
      <c r="O7" s="22"/>
    </row>
    <row r="8" spans="4:15">
      <c r="D8" s="207"/>
      <c r="E8" s="289"/>
      <c r="F8" s="290"/>
      <c r="G8" s="290"/>
      <c r="H8" s="290"/>
      <c r="I8" s="290"/>
      <c r="J8" s="290"/>
      <c r="K8" s="290"/>
      <c r="L8" s="290"/>
      <c r="O8" s="22"/>
    </row>
    <row r="9" spans="4:15" ht="16.5">
      <c r="D9" s="223" t="s">
        <v>45</v>
      </c>
      <c r="E9" s="224"/>
      <c r="F9" s="176" t="s">
        <v>46</v>
      </c>
      <c r="G9" s="177"/>
      <c r="H9" s="177"/>
      <c r="I9" s="177"/>
      <c r="J9" s="177"/>
      <c r="K9" s="177"/>
      <c r="L9" s="177"/>
      <c r="M9" s="177"/>
      <c r="N9" s="177"/>
      <c r="O9" s="23"/>
    </row>
    <row r="10" spans="4:15" ht="16.5">
      <c r="D10" s="223" t="s">
        <v>48</v>
      </c>
      <c r="E10" s="224"/>
      <c r="F10" s="176" t="s">
        <v>49</v>
      </c>
      <c r="G10" s="177"/>
      <c r="H10" s="177"/>
      <c r="I10" s="177"/>
      <c r="J10" s="177"/>
      <c r="K10" s="177"/>
      <c r="L10" s="177"/>
      <c r="M10" s="177"/>
      <c r="N10" s="177"/>
      <c r="O10" s="23"/>
    </row>
    <row r="11" spans="4:15" ht="16.5">
      <c r="D11" s="225" t="s">
        <v>50</v>
      </c>
      <c r="E11" s="226"/>
      <c r="F11" s="176" t="s">
        <v>51</v>
      </c>
      <c r="G11" s="177"/>
      <c r="H11" s="177"/>
      <c r="I11" s="177"/>
      <c r="J11" s="177"/>
      <c r="K11" s="177"/>
      <c r="L11" s="177"/>
      <c r="M11" s="177"/>
      <c r="N11" s="177"/>
      <c r="O11" s="23"/>
    </row>
    <row r="12" spans="4:15" ht="16.5">
      <c r="D12" s="223" t="s">
        <v>52</v>
      </c>
      <c r="E12" s="224"/>
      <c r="F12" s="176" t="s">
        <v>53</v>
      </c>
      <c r="G12" s="177"/>
      <c r="H12" s="177"/>
      <c r="I12" s="177"/>
      <c r="J12" s="177"/>
      <c r="K12" s="177"/>
      <c r="L12" s="177"/>
      <c r="M12" s="177"/>
      <c r="N12" s="177"/>
      <c r="O12" s="23"/>
    </row>
    <row r="13" spans="4:15" ht="15.75">
      <c r="D13" s="227" t="s">
        <v>1285</v>
      </c>
      <c r="E13" s="228"/>
      <c r="F13" s="228"/>
      <c r="G13" s="228"/>
      <c r="H13" s="228"/>
      <c r="I13" s="228"/>
      <c r="J13" s="228"/>
      <c r="K13" s="228"/>
      <c r="L13" s="228"/>
      <c r="M13" s="228"/>
      <c r="N13" s="228"/>
      <c r="O13" s="229"/>
    </row>
    <row r="14" spans="4:15" ht="15.75">
      <c r="D14" s="11" t="s">
        <v>55</v>
      </c>
      <c r="F14" s="12"/>
      <c r="G14" s="12"/>
      <c r="H14" s="12"/>
      <c r="I14" s="12"/>
      <c r="J14" s="24" t="s">
        <v>56</v>
      </c>
      <c r="K14" s="25"/>
      <c r="L14" s="12"/>
      <c r="M14" s="12"/>
      <c r="N14" s="12"/>
      <c r="O14" s="26"/>
    </row>
    <row r="15" spans="4:15">
      <c r="D15" s="217"/>
      <c r="E15" s="218"/>
      <c r="F15" s="218"/>
      <c r="G15" s="218"/>
      <c r="H15" s="218"/>
      <c r="I15" s="218"/>
      <c r="J15" s="218"/>
      <c r="K15" s="218"/>
      <c r="L15" s="218"/>
      <c r="M15" s="218"/>
      <c r="N15" s="218"/>
      <c r="O15" s="219"/>
    </row>
    <row r="16" spans="4:15" ht="15.75">
      <c r="D16" s="179" t="s">
        <v>103</v>
      </c>
      <c r="E16" s="355"/>
      <c r="F16" s="356"/>
      <c r="G16" s="356"/>
      <c r="H16" s="356"/>
      <c r="I16" s="357"/>
      <c r="J16" s="368" t="s">
        <v>542</v>
      </c>
      <c r="K16" s="369"/>
      <c r="L16" s="369"/>
      <c r="M16" s="369"/>
      <c r="N16" s="369"/>
      <c r="O16" s="370"/>
    </row>
    <row r="17" spans="4:15">
      <c r="D17" s="329" t="s">
        <v>59</v>
      </c>
      <c r="E17" s="209" t="s">
        <v>60</v>
      </c>
      <c r="F17" s="209" t="s">
        <v>659</v>
      </c>
      <c r="G17" s="209" t="s">
        <v>62</v>
      </c>
      <c r="H17" s="209" t="s">
        <v>63</v>
      </c>
      <c r="I17" s="209" t="s">
        <v>64</v>
      </c>
      <c r="J17" s="209" t="s">
        <v>65</v>
      </c>
      <c r="K17" s="342" t="s">
        <v>66</v>
      </c>
      <c r="L17" s="343"/>
      <c r="M17" s="344"/>
      <c r="N17" s="209" t="s">
        <v>30</v>
      </c>
      <c r="O17" s="328" t="s">
        <v>67</v>
      </c>
    </row>
    <row r="18" spans="4:15" ht="60">
      <c r="D18" s="359"/>
      <c r="E18" s="292"/>
      <c r="F18" s="292"/>
      <c r="G18" s="292"/>
      <c r="H18" s="292"/>
      <c r="I18" s="292"/>
      <c r="J18" s="292"/>
      <c r="K18" s="180" t="s">
        <v>68</v>
      </c>
      <c r="L18" s="28" t="s">
        <v>999</v>
      </c>
      <c r="M18" s="180" t="s">
        <v>70</v>
      </c>
      <c r="N18" s="292"/>
      <c r="O18" s="360"/>
    </row>
    <row r="19" spans="4:15">
      <c r="D19" s="18">
        <v>1</v>
      </c>
      <c r="E19" s="18" t="s">
        <v>71</v>
      </c>
      <c r="F19" s="382">
        <v>110</v>
      </c>
      <c r="G19" s="382" t="s">
        <v>417</v>
      </c>
      <c r="H19" s="382" t="s">
        <v>242</v>
      </c>
      <c r="I19" s="382">
        <v>384.4</v>
      </c>
      <c r="J19" s="181" t="s">
        <v>276</v>
      </c>
      <c r="K19" s="18">
        <v>1.8</v>
      </c>
      <c r="L19" s="30">
        <v>3.1</v>
      </c>
      <c r="M19" s="18">
        <v>4.9000000000000004</v>
      </c>
      <c r="N19" s="178"/>
      <c r="O19" s="178"/>
    </row>
    <row r="20" spans="4:15">
      <c r="D20" s="18">
        <f>1+D19</f>
        <v>2</v>
      </c>
      <c r="E20" s="18" t="s">
        <v>71</v>
      </c>
      <c r="F20" s="382">
        <v>63</v>
      </c>
      <c r="G20" s="382" t="s">
        <v>242</v>
      </c>
      <c r="H20" s="382" t="s">
        <v>445</v>
      </c>
      <c r="I20" s="382">
        <v>97.9</v>
      </c>
      <c r="J20" s="181" t="s">
        <v>276</v>
      </c>
      <c r="K20" s="18">
        <v>1.8</v>
      </c>
      <c r="L20" s="30">
        <v>3.1</v>
      </c>
      <c r="M20" s="18">
        <v>4.9000000000000004</v>
      </c>
      <c r="N20" s="178"/>
      <c r="O20" s="178"/>
    </row>
    <row r="21" spans="4:15">
      <c r="D21" s="18">
        <f>1+D20</f>
        <v>3</v>
      </c>
      <c r="E21" s="18" t="s">
        <v>71</v>
      </c>
      <c r="F21" s="382">
        <v>63</v>
      </c>
      <c r="G21" s="382" t="s">
        <v>445</v>
      </c>
      <c r="H21" s="382" t="s">
        <v>122</v>
      </c>
      <c r="I21" s="382">
        <v>3.1</v>
      </c>
      <c r="J21" s="181" t="s">
        <v>276</v>
      </c>
      <c r="K21" s="18">
        <v>1.8</v>
      </c>
      <c r="L21" s="30">
        <v>3.1</v>
      </c>
      <c r="M21" s="18">
        <v>4.9000000000000004</v>
      </c>
      <c r="N21" s="178"/>
      <c r="O21" s="178"/>
    </row>
    <row r="22" spans="4:15">
      <c r="D22" s="18">
        <f t="shared" ref="D22:D62" si="0">1+D21</f>
        <v>4</v>
      </c>
      <c r="E22" s="18" t="s">
        <v>71</v>
      </c>
      <c r="F22" s="382">
        <v>63</v>
      </c>
      <c r="G22" s="382" t="s">
        <v>445</v>
      </c>
      <c r="H22" s="382" t="s">
        <v>122</v>
      </c>
      <c r="I22" s="382">
        <v>26.2</v>
      </c>
      <c r="J22" s="181" t="s">
        <v>276</v>
      </c>
      <c r="K22" s="18">
        <v>1.8</v>
      </c>
      <c r="L22" s="30">
        <v>3.1</v>
      </c>
      <c r="M22" s="18">
        <v>4.9000000000000004</v>
      </c>
      <c r="N22" s="178"/>
      <c r="O22" s="178"/>
    </row>
    <row r="23" spans="4:15">
      <c r="D23" s="18">
        <f t="shared" si="0"/>
        <v>5</v>
      </c>
      <c r="E23" s="18" t="s">
        <v>71</v>
      </c>
      <c r="F23" s="382">
        <v>63</v>
      </c>
      <c r="G23" s="382" t="s">
        <v>421</v>
      </c>
      <c r="H23" s="382" t="s">
        <v>234</v>
      </c>
      <c r="I23" s="382">
        <v>113.4</v>
      </c>
      <c r="J23" s="181" t="s">
        <v>276</v>
      </c>
      <c r="K23" s="18">
        <v>1.8</v>
      </c>
      <c r="L23" s="30">
        <v>3.1</v>
      </c>
      <c r="M23" s="18">
        <v>4.9000000000000004</v>
      </c>
      <c r="N23" s="178"/>
      <c r="O23" s="178"/>
    </row>
    <row r="24" spans="4:15">
      <c r="D24" s="18">
        <f t="shared" si="0"/>
        <v>6</v>
      </c>
      <c r="E24" s="18" t="s">
        <v>71</v>
      </c>
      <c r="F24" s="382">
        <v>63</v>
      </c>
      <c r="G24" s="382" t="s">
        <v>234</v>
      </c>
      <c r="H24" s="382" t="s">
        <v>242</v>
      </c>
      <c r="I24" s="382">
        <v>6.6</v>
      </c>
      <c r="J24" s="181" t="s">
        <v>276</v>
      </c>
      <c r="K24" s="18">
        <v>1.8</v>
      </c>
      <c r="L24" s="30">
        <v>3.1</v>
      </c>
      <c r="M24" s="18">
        <v>4.9000000000000004</v>
      </c>
      <c r="N24" s="178"/>
      <c r="O24" s="178"/>
    </row>
    <row r="25" spans="4:15">
      <c r="D25" s="18">
        <f t="shared" si="0"/>
        <v>7</v>
      </c>
      <c r="E25" s="18" t="s">
        <v>71</v>
      </c>
      <c r="F25" s="382">
        <v>63</v>
      </c>
      <c r="G25" s="382" t="s">
        <v>234</v>
      </c>
      <c r="H25" s="382" t="s">
        <v>242</v>
      </c>
      <c r="I25" s="382">
        <v>8.6</v>
      </c>
      <c r="J25" s="181" t="s">
        <v>276</v>
      </c>
      <c r="K25" s="18">
        <v>1.8</v>
      </c>
      <c r="L25" s="30">
        <v>3.1</v>
      </c>
      <c r="M25" s="18">
        <v>4.9000000000000004</v>
      </c>
      <c r="N25" s="178"/>
      <c r="O25" s="178"/>
    </row>
    <row r="26" spans="4:15">
      <c r="D26" s="18">
        <f t="shared" si="0"/>
        <v>8</v>
      </c>
      <c r="E26" s="18" t="s">
        <v>71</v>
      </c>
      <c r="F26" s="382">
        <v>63</v>
      </c>
      <c r="G26" s="382" t="s">
        <v>234</v>
      </c>
      <c r="H26" s="382" t="s">
        <v>242</v>
      </c>
      <c r="I26" s="382">
        <v>110.9</v>
      </c>
      <c r="J26" s="181" t="s">
        <v>276</v>
      </c>
      <c r="K26" s="18">
        <v>1.8</v>
      </c>
      <c r="L26" s="30">
        <v>3.1</v>
      </c>
      <c r="M26" s="18">
        <v>4.9000000000000004</v>
      </c>
      <c r="N26" s="178"/>
      <c r="O26" s="178"/>
    </row>
    <row r="27" spans="4:15">
      <c r="D27" s="18">
        <f t="shared" si="0"/>
        <v>9</v>
      </c>
      <c r="E27" s="18" t="s">
        <v>71</v>
      </c>
      <c r="F27" s="382">
        <v>63</v>
      </c>
      <c r="G27" s="382" t="s">
        <v>234</v>
      </c>
      <c r="H27" s="382" t="s">
        <v>504</v>
      </c>
      <c r="I27" s="382">
        <v>206.4</v>
      </c>
      <c r="J27" s="181" t="s">
        <v>276</v>
      </c>
      <c r="K27" s="18">
        <v>1.8</v>
      </c>
      <c r="L27" s="30">
        <v>3.1</v>
      </c>
      <c r="M27" s="18">
        <v>4.9000000000000004</v>
      </c>
      <c r="N27" s="178"/>
      <c r="O27" s="178"/>
    </row>
    <row r="28" spans="4:15">
      <c r="D28" s="18">
        <f t="shared" si="0"/>
        <v>10</v>
      </c>
      <c r="E28" s="18" t="s">
        <v>71</v>
      </c>
      <c r="F28" s="382">
        <v>63</v>
      </c>
      <c r="G28" s="382" t="s">
        <v>234</v>
      </c>
      <c r="H28" s="382" t="s">
        <v>127</v>
      </c>
      <c r="I28" s="382">
        <v>442.4</v>
      </c>
      <c r="J28" s="181" t="s">
        <v>276</v>
      </c>
      <c r="K28" s="18">
        <v>1.8</v>
      </c>
      <c r="L28" s="30">
        <v>3.1</v>
      </c>
      <c r="M28" s="18">
        <v>4.9000000000000004</v>
      </c>
      <c r="N28" s="178"/>
      <c r="O28" s="178"/>
    </row>
    <row r="29" spans="4:15">
      <c r="D29" s="18">
        <f t="shared" si="0"/>
        <v>11</v>
      </c>
      <c r="E29" s="18" t="s">
        <v>71</v>
      </c>
      <c r="F29" s="382">
        <v>63</v>
      </c>
      <c r="G29" s="382" t="s">
        <v>127</v>
      </c>
      <c r="H29" s="382" t="s">
        <v>403</v>
      </c>
      <c r="I29" s="382">
        <v>43</v>
      </c>
      <c r="J29" s="181" t="s">
        <v>276</v>
      </c>
      <c r="K29" s="18">
        <v>1.8</v>
      </c>
      <c r="L29" s="30">
        <v>3.1</v>
      </c>
      <c r="M29" s="18">
        <v>4.9000000000000004</v>
      </c>
      <c r="N29" s="178"/>
      <c r="O29" s="178"/>
    </row>
    <row r="30" spans="4:15">
      <c r="D30" s="18">
        <f t="shared" si="0"/>
        <v>12</v>
      </c>
      <c r="E30" s="18" t="s">
        <v>71</v>
      </c>
      <c r="F30" s="382">
        <v>63</v>
      </c>
      <c r="G30" s="382" t="s">
        <v>127</v>
      </c>
      <c r="H30" s="382" t="s">
        <v>238</v>
      </c>
      <c r="I30" s="382">
        <v>76.5</v>
      </c>
      <c r="J30" s="181" t="s">
        <v>276</v>
      </c>
      <c r="K30" s="18">
        <v>1.8</v>
      </c>
      <c r="L30" s="30">
        <v>3.1</v>
      </c>
      <c r="M30" s="18">
        <v>4.9000000000000004</v>
      </c>
      <c r="N30" s="178"/>
      <c r="O30" s="178"/>
    </row>
    <row r="31" spans="4:15">
      <c r="D31" s="18">
        <f t="shared" si="0"/>
        <v>13</v>
      </c>
      <c r="E31" s="18" t="s">
        <v>71</v>
      </c>
      <c r="F31" s="382">
        <v>63</v>
      </c>
      <c r="G31" s="382" t="s">
        <v>127</v>
      </c>
      <c r="H31" s="382" t="s">
        <v>238</v>
      </c>
      <c r="I31" s="382">
        <v>3.8</v>
      </c>
      <c r="J31" s="181" t="s">
        <v>276</v>
      </c>
      <c r="K31" s="18">
        <v>1.8</v>
      </c>
      <c r="L31" s="30">
        <v>3.1</v>
      </c>
      <c r="M31" s="18">
        <v>4.9000000000000004</v>
      </c>
      <c r="N31" s="178"/>
      <c r="O31" s="178"/>
    </row>
    <row r="32" spans="4:15">
      <c r="D32" s="18">
        <f t="shared" si="0"/>
        <v>14</v>
      </c>
      <c r="E32" s="18" t="s">
        <v>71</v>
      </c>
      <c r="F32" s="382">
        <v>63</v>
      </c>
      <c r="G32" s="382" t="s">
        <v>238</v>
      </c>
      <c r="H32" s="382" t="s">
        <v>236</v>
      </c>
      <c r="I32" s="382">
        <v>5.8</v>
      </c>
      <c r="J32" s="181" t="s">
        <v>276</v>
      </c>
      <c r="K32" s="18">
        <v>1.8</v>
      </c>
      <c r="L32" s="30">
        <v>3.1</v>
      </c>
      <c r="M32" s="18">
        <v>4.9000000000000004</v>
      </c>
      <c r="N32" s="178"/>
      <c r="O32" s="178"/>
    </row>
    <row r="33" spans="4:15">
      <c r="D33" s="18">
        <f t="shared" si="0"/>
        <v>15</v>
      </c>
      <c r="E33" s="18" t="s">
        <v>71</v>
      </c>
      <c r="F33" s="382">
        <v>63</v>
      </c>
      <c r="G33" s="382" t="s">
        <v>238</v>
      </c>
      <c r="H33" s="382" t="s">
        <v>236</v>
      </c>
      <c r="I33" s="382">
        <v>137.30000000000001</v>
      </c>
      <c r="J33" s="181" t="s">
        <v>276</v>
      </c>
      <c r="K33" s="18">
        <v>1.8</v>
      </c>
      <c r="L33" s="30">
        <v>3.1</v>
      </c>
      <c r="M33" s="18">
        <v>4.9000000000000004</v>
      </c>
      <c r="N33" s="178"/>
      <c r="O33" s="178"/>
    </row>
    <row r="34" spans="4:15">
      <c r="D34" s="18">
        <f t="shared" si="0"/>
        <v>16</v>
      </c>
      <c r="E34" s="18" t="s">
        <v>71</v>
      </c>
      <c r="F34" s="382">
        <v>63</v>
      </c>
      <c r="G34" s="382" t="s">
        <v>238</v>
      </c>
      <c r="H34" s="382" t="s">
        <v>236</v>
      </c>
      <c r="I34" s="382">
        <v>5.9</v>
      </c>
      <c r="J34" s="181" t="s">
        <v>276</v>
      </c>
      <c r="K34" s="18">
        <v>1.8</v>
      </c>
      <c r="L34" s="30">
        <v>3.1</v>
      </c>
      <c r="M34" s="18">
        <v>4.9000000000000004</v>
      </c>
      <c r="N34" s="178"/>
      <c r="O34" s="178"/>
    </row>
    <row r="35" spans="4:15">
      <c r="D35" s="18">
        <f t="shared" si="0"/>
        <v>17</v>
      </c>
      <c r="E35" s="18" t="s">
        <v>71</v>
      </c>
      <c r="F35" s="382">
        <v>63</v>
      </c>
      <c r="G35" s="382" t="s">
        <v>238</v>
      </c>
      <c r="H35" s="382" t="s">
        <v>236</v>
      </c>
      <c r="I35" s="382">
        <v>34.799999999999997</v>
      </c>
      <c r="J35" s="181" t="s">
        <v>276</v>
      </c>
      <c r="K35" s="18">
        <v>1.8</v>
      </c>
      <c r="L35" s="30">
        <v>3.1</v>
      </c>
      <c r="M35" s="18">
        <v>4.9000000000000004</v>
      </c>
      <c r="N35" s="178"/>
      <c r="O35" s="178"/>
    </row>
    <row r="36" spans="4:15">
      <c r="D36" s="18">
        <f t="shared" si="0"/>
        <v>18</v>
      </c>
      <c r="E36" s="18" t="s">
        <v>71</v>
      </c>
      <c r="F36" s="382">
        <v>63</v>
      </c>
      <c r="G36" s="382" t="s">
        <v>238</v>
      </c>
      <c r="H36" s="382" t="s">
        <v>134</v>
      </c>
      <c r="I36" s="382">
        <v>255.3</v>
      </c>
      <c r="J36" s="181" t="s">
        <v>276</v>
      </c>
      <c r="K36" s="18">
        <v>1.8</v>
      </c>
      <c r="L36" s="30">
        <v>3.1</v>
      </c>
      <c r="M36" s="18">
        <v>4.9000000000000004</v>
      </c>
      <c r="N36" s="178"/>
      <c r="O36" s="178"/>
    </row>
    <row r="37" spans="4:15">
      <c r="D37" s="18">
        <f t="shared" si="0"/>
        <v>19</v>
      </c>
      <c r="E37" s="18" t="s">
        <v>71</v>
      </c>
      <c r="F37" s="382">
        <v>63</v>
      </c>
      <c r="G37" s="382" t="s">
        <v>445</v>
      </c>
      <c r="H37" s="382" t="s">
        <v>128</v>
      </c>
      <c r="I37" s="382">
        <v>287.10000000000002</v>
      </c>
      <c r="J37" s="181" t="s">
        <v>276</v>
      </c>
      <c r="K37" s="18">
        <v>1.8</v>
      </c>
      <c r="L37" s="30">
        <v>3.1</v>
      </c>
      <c r="M37" s="18">
        <v>4.9000000000000004</v>
      </c>
      <c r="N37" s="178"/>
      <c r="O37" s="178"/>
    </row>
    <row r="38" spans="4:15">
      <c r="D38" s="18">
        <f t="shared" si="0"/>
        <v>20</v>
      </c>
      <c r="E38" s="18" t="s">
        <v>71</v>
      </c>
      <c r="F38" s="382">
        <v>63</v>
      </c>
      <c r="G38" s="382" t="s">
        <v>128</v>
      </c>
      <c r="H38" s="382" t="s">
        <v>129</v>
      </c>
      <c r="I38" s="382">
        <v>3.2</v>
      </c>
      <c r="J38" s="181" t="s">
        <v>276</v>
      </c>
      <c r="K38" s="18">
        <v>1.8</v>
      </c>
      <c r="L38" s="30">
        <v>3.1</v>
      </c>
      <c r="M38" s="18">
        <v>4.9000000000000004</v>
      </c>
      <c r="N38" s="178"/>
      <c r="O38" s="178"/>
    </row>
    <row r="39" spans="4:15">
      <c r="D39" s="18">
        <f t="shared" si="0"/>
        <v>21</v>
      </c>
      <c r="E39" s="18" t="s">
        <v>71</v>
      </c>
      <c r="F39" s="382">
        <v>63</v>
      </c>
      <c r="G39" s="382" t="s">
        <v>128</v>
      </c>
      <c r="H39" s="382" t="s">
        <v>129</v>
      </c>
      <c r="I39" s="382">
        <v>37.799999999999997</v>
      </c>
      <c r="J39" s="181" t="s">
        <v>276</v>
      </c>
      <c r="K39" s="18">
        <v>1.8</v>
      </c>
      <c r="L39" s="30">
        <v>3.1</v>
      </c>
      <c r="M39" s="18">
        <v>4.9000000000000004</v>
      </c>
      <c r="N39" s="178"/>
      <c r="O39" s="178"/>
    </row>
    <row r="40" spans="4:15">
      <c r="D40" s="18">
        <f t="shared" si="0"/>
        <v>22</v>
      </c>
      <c r="E40" s="18" t="s">
        <v>71</v>
      </c>
      <c r="F40" s="382">
        <v>63</v>
      </c>
      <c r="G40" s="382" t="s">
        <v>128</v>
      </c>
      <c r="H40" s="382" t="s">
        <v>243</v>
      </c>
      <c r="I40" s="382">
        <v>181.4</v>
      </c>
      <c r="J40" s="181" t="s">
        <v>276</v>
      </c>
      <c r="K40" s="18">
        <v>1.8</v>
      </c>
      <c r="L40" s="30">
        <v>3.1</v>
      </c>
      <c r="M40" s="18">
        <v>4.9000000000000004</v>
      </c>
      <c r="N40" s="178"/>
      <c r="O40" s="178"/>
    </row>
    <row r="41" spans="4:15">
      <c r="D41" s="18">
        <f t="shared" si="0"/>
        <v>23</v>
      </c>
      <c r="E41" s="18" t="s">
        <v>71</v>
      </c>
      <c r="F41" s="382">
        <v>63</v>
      </c>
      <c r="G41" s="382" t="s">
        <v>128</v>
      </c>
      <c r="H41" s="382" t="s">
        <v>243</v>
      </c>
      <c r="I41" s="382">
        <v>4.5999999999999996</v>
      </c>
      <c r="J41" s="181" t="s">
        <v>276</v>
      </c>
      <c r="K41" s="18">
        <v>1.8</v>
      </c>
      <c r="L41" s="30">
        <v>3.1</v>
      </c>
      <c r="M41" s="18">
        <v>4.9000000000000004</v>
      </c>
      <c r="N41" s="178"/>
      <c r="O41" s="178"/>
    </row>
    <row r="42" spans="4:15">
      <c r="D42" s="18">
        <f t="shared" si="0"/>
        <v>24</v>
      </c>
      <c r="E42" s="18" t="s">
        <v>71</v>
      </c>
      <c r="F42" s="382">
        <v>63</v>
      </c>
      <c r="G42" s="382" t="s">
        <v>243</v>
      </c>
      <c r="H42" s="382" t="s">
        <v>399</v>
      </c>
      <c r="I42" s="382">
        <v>53.1</v>
      </c>
      <c r="J42" s="181" t="s">
        <v>276</v>
      </c>
      <c r="K42" s="18">
        <v>1.8</v>
      </c>
      <c r="L42" s="30">
        <v>3.1</v>
      </c>
      <c r="M42" s="18">
        <v>4.9000000000000004</v>
      </c>
      <c r="N42" s="178"/>
      <c r="O42" s="178"/>
    </row>
    <row r="43" spans="4:15">
      <c r="D43" s="18">
        <f t="shared" si="0"/>
        <v>25</v>
      </c>
      <c r="E43" s="18" t="s">
        <v>71</v>
      </c>
      <c r="F43" s="382">
        <v>63</v>
      </c>
      <c r="G43" s="382" t="s">
        <v>243</v>
      </c>
      <c r="H43" s="382" t="s">
        <v>533</v>
      </c>
      <c r="I43" s="382">
        <v>45.2</v>
      </c>
      <c r="J43" s="181" t="s">
        <v>276</v>
      </c>
      <c r="K43" s="18">
        <v>1.8</v>
      </c>
      <c r="L43" s="30">
        <v>3.1</v>
      </c>
      <c r="M43" s="18">
        <v>4.9000000000000004</v>
      </c>
      <c r="N43" s="178"/>
      <c r="O43" s="178"/>
    </row>
    <row r="44" spans="4:15">
      <c r="D44" s="18">
        <f t="shared" si="0"/>
        <v>26</v>
      </c>
      <c r="E44" s="18" t="s">
        <v>71</v>
      </c>
      <c r="F44" s="382">
        <v>63</v>
      </c>
      <c r="G44" s="382" t="s">
        <v>243</v>
      </c>
      <c r="H44" s="382" t="s">
        <v>533</v>
      </c>
      <c r="I44" s="382">
        <v>21.9</v>
      </c>
      <c r="J44" s="181" t="s">
        <v>276</v>
      </c>
      <c r="K44" s="18">
        <v>1.8</v>
      </c>
      <c r="L44" s="30">
        <v>3.1</v>
      </c>
      <c r="M44" s="18">
        <v>4.9000000000000004</v>
      </c>
      <c r="N44" s="178"/>
      <c r="O44" s="178"/>
    </row>
    <row r="45" spans="4:15">
      <c r="D45" s="18">
        <f t="shared" si="0"/>
        <v>27</v>
      </c>
      <c r="E45" s="18" t="s">
        <v>71</v>
      </c>
      <c r="F45" s="382">
        <v>63</v>
      </c>
      <c r="G45" s="382" t="s">
        <v>533</v>
      </c>
      <c r="H45" s="382" t="s">
        <v>176</v>
      </c>
      <c r="I45" s="382">
        <v>4.9000000000000004</v>
      </c>
      <c r="J45" s="181" t="s">
        <v>276</v>
      </c>
      <c r="K45" s="18">
        <v>1.8</v>
      </c>
      <c r="L45" s="30">
        <v>3.1</v>
      </c>
      <c r="M45" s="18">
        <v>4.9000000000000004</v>
      </c>
      <c r="N45" s="178"/>
      <c r="O45" s="178"/>
    </row>
    <row r="46" spans="4:15">
      <c r="D46" s="18">
        <f t="shared" si="0"/>
        <v>28</v>
      </c>
      <c r="E46" s="18" t="s">
        <v>71</v>
      </c>
      <c r="F46" s="382">
        <v>63</v>
      </c>
      <c r="G46" s="382" t="s">
        <v>445</v>
      </c>
      <c r="H46" s="382" t="s">
        <v>527</v>
      </c>
      <c r="I46" s="382">
        <v>84.9</v>
      </c>
      <c r="J46" s="181" t="s">
        <v>276</v>
      </c>
      <c r="K46" s="18">
        <v>1.8</v>
      </c>
      <c r="L46" s="30">
        <v>3.1</v>
      </c>
      <c r="M46" s="18">
        <v>4.9000000000000004</v>
      </c>
      <c r="N46" s="178"/>
      <c r="O46" s="178"/>
    </row>
    <row r="47" spans="4:15">
      <c r="D47" s="18">
        <f t="shared" si="0"/>
        <v>29</v>
      </c>
      <c r="E47" s="18" t="s">
        <v>71</v>
      </c>
      <c r="F47" s="382">
        <v>63</v>
      </c>
      <c r="G47" s="382" t="s">
        <v>533</v>
      </c>
      <c r="H47" s="382" t="s">
        <v>176</v>
      </c>
      <c r="I47" s="382">
        <v>52</v>
      </c>
      <c r="J47" s="181" t="s">
        <v>276</v>
      </c>
      <c r="K47" s="18">
        <v>1.8</v>
      </c>
      <c r="L47" s="30">
        <v>3.1</v>
      </c>
      <c r="M47" s="18">
        <v>4.9000000000000004</v>
      </c>
      <c r="N47" s="178"/>
      <c r="O47" s="178"/>
    </row>
    <row r="48" spans="4:15">
      <c r="D48" s="18">
        <f t="shared" si="0"/>
        <v>30</v>
      </c>
      <c r="E48" s="18" t="s">
        <v>71</v>
      </c>
      <c r="F48" s="382">
        <v>63</v>
      </c>
      <c r="G48" s="382" t="s">
        <v>533</v>
      </c>
      <c r="H48" s="382" t="s">
        <v>297</v>
      </c>
      <c r="I48" s="382">
        <v>48.9</v>
      </c>
      <c r="J48" s="181" t="s">
        <v>276</v>
      </c>
      <c r="K48" s="18">
        <v>1.8</v>
      </c>
      <c r="L48" s="30">
        <v>3.1</v>
      </c>
      <c r="M48" s="18">
        <v>4.9000000000000004</v>
      </c>
      <c r="N48" s="178"/>
      <c r="O48" s="178"/>
    </row>
    <row r="49" spans="4:15">
      <c r="D49" s="18">
        <f t="shared" si="0"/>
        <v>31</v>
      </c>
      <c r="E49" s="18" t="s">
        <v>71</v>
      </c>
      <c r="F49" s="382">
        <v>63</v>
      </c>
      <c r="G49" s="382" t="s">
        <v>533</v>
      </c>
      <c r="H49" s="382" t="s">
        <v>297</v>
      </c>
      <c r="I49" s="382">
        <v>15.8</v>
      </c>
      <c r="J49" s="181" t="s">
        <v>276</v>
      </c>
      <c r="K49" s="18">
        <v>1.8</v>
      </c>
      <c r="L49" s="30">
        <v>3.1</v>
      </c>
      <c r="M49" s="18">
        <v>4.9000000000000004</v>
      </c>
      <c r="N49" s="178"/>
      <c r="O49" s="178"/>
    </row>
    <row r="50" spans="4:15">
      <c r="D50" s="18">
        <f t="shared" si="0"/>
        <v>32</v>
      </c>
      <c r="E50" s="18" t="s">
        <v>71</v>
      </c>
      <c r="F50" s="382">
        <v>63</v>
      </c>
      <c r="G50" s="382" t="s">
        <v>297</v>
      </c>
      <c r="H50" s="382" t="s">
        <v>717</v>
      </c>
      <c r="I50" s="382">
        <v>98.7</v>
      </c>
      <c r="J50" s="181" t="s">
        <v>276</v>
      </c>
      <c r="K50" s="18">
        <v>1.8</v>
      </c>
      <c r="L50" s="30">
        <v>3.1</v>
      </c>
      <c r="M50" s="18">
        <v>4.9000000000000004</v>
      </c>
      <c r="N50" s="178"/>
      <c r="O50" s="178"/>
    </row>
    <row r="51" spans="4:15">
      <c r="D51" s="18">
        <f t="shared" si="0"/>
        <v>33</v>
      </c>
      <c r="E51" s="18" t="s">
        <v>71</v>
      </c>
      <c r="F51" s="382">
        <v>63</v>
      </c>
      <c r="G51" s="382" t="s">
        <v>297</v>
      </c>
      <c r="H51" s="382" t="s">
        <v>180</v>
      </c>
      <c r="I51" s="382">
        <v>12.9</v>
      </c>
      <c r="J51" s="181" t="s">
        <v>276</v>
      </c>
      <c r="K51" s="18">
        <v>1.8</v>
      </c>
      <c r="L51" s="30">
        <v>3.1</v>
      </c>
      <c r="M51" s="18">
        <v>4.9000000000000004</v>
      </c>
      <c r="N51" s="178"/>
      <c r="O51" s="178"/>
    </row>
    <row r="52" spans="4:15">
      <c r="D52" s="18">
        <f t="shared" si="0"/>
        <v>34</v>
      </c>
      <c r="E52" s="18" t="s">
        <v>71</v>
      </c>
      <c r="F52" s="382">
        <v>63</v>
      </c>
      <c r="G52" s="382" t="s">
        <v>297</v>
      </c>
      <c r="H52" s="382" t="s">
        <v>180</v>
      </c>
      <c r="I52" s="382">
        <v>17.399999999999999</v>
      </c>
      <c r="J52" s="181" t="s">
        <v>276</v>
      </c>
      <c r="K52" s="18">
        <v>1.8</v>
      </c>
      <c r="L52" s="30">
        <v>3.1</v>
      </c>
      <c r="M52" s="18">
        <v>4.9000000000000004</v>
      </c>
      <c r="N52" s="178"/>
      <c r="O52" s="178"/>
    </row>
    <row r="53" spans="4:15">
      <c r="D53" s="18">
        <f t="shared" si="0"/>
        <v>35</v>
      </c>
      <c r="E53" s="18" t="s">
        <v>71</v>
      </c>
      <c r="F53" s="382">
        <v>63</v>
      </c>
      <c r="G53" s="382" t="s">
        <v>297</v>
      </c>
      <c r="H53" s="382" t="s">
        <v>180</v>
      </c>
      <c r="I53" s="382">
        <v>8.6</v>
      </c>
      <c r="J53" s="181" t="s">
        <v>276</v>
      </c>
      <c r="K53" s="18">
        <v>1.8</v>
      </c>
      <c r="L53" s="30">
        <v>3.1</v>
      </c>
      <c r="M53" s="18">
        <v>4.9000000000000004</v>
      </c>
      <c r="N53" s="178"/>
      <c r="O53" s="178"/>
    </row>
    <row r="54" spans="4:15">
      <c r="D54" s="18">
        <f t="shared" si="0"/>
        <v>36</v>
      </c>
      <c r="E54" s="18" t="s">
        <v>71</v>
      </c>
      <c r="F54" s="382">
        <v>63</v>
      </c>
      <c r="G54" s="382" t="s">
        <v>297</v>
      </c>
      <c r="H54" s="382" t="s">
        <v>180</v>
      </c>
      <c r="I54" s="382">
        <v>4.9000000000000004</v>
      </c>
      <c r="J54" s="181" t="s">
        <v>276</v>
      </c>
      <c r="K54" s="18">
        <v>1.8</v>
      </c>
      <c r="L54" s="30">
        <v>3.1</v>
      </c>
      <c r="M54" s="18">
        <v>4.9000000000000004</v>
      </c>
      <c r="N54" s="178"/>
      <c r="O54" s="178"/>
    </row>
    <row r="55" spans="4:15">
      <c r="D55" s="18">
        <f t="shared" si="0"/>
        <v>37</v>
      </c>
      <c r="E55" s="18" t="s">
        <v>71</v>
      </c>
      <c r="F55" s="382">
        <v>63</v>
      </c>
      <c r="G55" s="382" t="s">
        <v>180</v>
      </c>
      <c r="H55" s="382" t="s">
        <v>244</v>
      </c>
      <c r="I55" s="382">
        <v>44.3</v>
      </c>
      <c r="J55" s="181" t="s">
        <v>276</v>
      </c>
      <c r="K55" s="18">
        <v>1.8</v>
      </c>
      <c r="L55" s="30">
        <v>3.1</v>
      </c>
      <c r="M55" s="18">
        <v>4.9000000000000004</v>
      </c>
      <c r="N55" s="178"/>
      <c r="O55" s="178"/>
    </row>
    <row r="56" spans="4:15">
      <c r="D56" s="18">
        <f t="shared" si="0"/>
        <v>38</v>
      </c>
      <c r="E56" s="18" t="s">
        <v>71</v>
      </c>
      <c r="F56" s="382">
        <v>63</v>
      </c>
      <c r="G56" s="382" t="s">
        <v>180</v>
      </c>
      <c r="H56" s="382" t="s">
        <v>1179</v>
      </c>
      <c r="I56" s="382">
        <v>15.2</v>
      </c>
      <c r="J56" s="181" t="s">
        <v>276</v>
      </c>
      <c r="K56" s="18">
        <v>1.8</v>
      </c>
      <c r="L56" s="30">
        <v>3.1</v>
      </c>
      <c r="M56" s="18">
        <v>4.9000000000000004</v>
      </c>
      <c r="N56" s="178"/>
      <c r="O56" s="178"/>
    </row>
    <row r="57" spans="4:15">
      <c r="D57" s="18">
        <f t="shared" si="0"/>
        <v>39</v>
      </c>
      <c r="E57" s="18" t="s">
        <v>71</v>
      </c>
      <c r="F57" s="382">
        <v>63</v>
      </c>
      <c r="G57" s="382" t="s">
        <v>1179</v>
      </c>
      <c r="H57" s="382" t="s">
        <v>1180</v>
      </c>
      <c r="I57" s="382">
        <v>61.6</v>
      </c>
      <c r="J57" s="181" t="s">
        <v>276</v>
      </c>
      <c r="K57" s="18">
        <v>1.8</v>
      </c>
      <c r="L57" s="30">
        <v>3.1</v>
      </c>
      <c r="M57" s="18">
        <v>4.9000000000000004</v>
      </c>
      <c r="N57" s="178"/>
      <c r="O57" s="178"/>
    </row>
    <row r="58" spans="4:15">
      <c r="D58" s="18">
        <f t="shared" si="0"/>
        <v>40</v>
      </c>
      <c r="E58" s="18" t="s">
        <v>71</v>
      </c>
      <c r="F58" s="382">
        <v>63</v>
      </c>
      <c r="G58" s="382" t="s">
        <v>1179</v>
      </c>
      <c r="H58" s="382" t="s">
        <v>699</v>
      </c>
      <c r="I58" s="382">
        <v>22.9</v>
      </c>
      <c r="J58" s="181" t="s">
        <v>276</v>
      </c>
      <c r="K58" s="18">
        <v>1.8</v>
      </c>
      <c r="L58" s="30">
        <v>3.1</v>
      </c>
      <c r="M58" s="18">
        <v>4.9000000000000004</v>
      </c>
      <c r="N58" s="178"/>
      <c r="O58" s="178"/>
    </row>
    <row r="59" spans="4:15">
      <c r="D59" s="18">
        <f t="shared" si="0"/>
        <v>41</v>
      </c>
      <c r="E59" s="18" t="s">
        <v>71</v>
      </c>
      <c r="F59" s="382">
        <v>63</v>
      </c>
      <c r="G59" s="382" t="s">
        <v>1179</v>
      </c>
      <c r="H59" s="382" t="s">
        <v>699</v>
      </c>
      <c r="I59" s="382">
        <v>73</v>
      </c>
      <c r="J59" s="181" t="s">
        <v>276</v>
      </c>
      <c r="K59" s="18">
        <v>1.8</v>
      </c>
      <c r="L59" s="30">
        <v>3.1</v>
      </c>
      <c r="M59" s="18">
        <v>4.9000000000000004</v>
      </c>
      <c r="N59" s="178"/>
      <c r="O59" s="178"/>
    </row>
    <row r="60" spans="4:15">
      <c r="D60" s="18">
        <f t="shared" si="0"/>
        <v>42</v>
      </c>
      <c r="E60" s="18" t="s">
        <v>71</v>
      </c>
      <c r="F60" s="382">
        <v>63</v>
      </c>
      <c r="G60" s="382" t="s">
        <v>1179</v>
      </c>
      <c r="H60" s="382" t="s">
        <v>699</v>
      </c>
      <c r="I60" s="382">
        <v>3.7</v>
      </c>
      <c r="J60" s="181" t="s">
        <v>276</v>
      </c>
      <c r="K60" s="18">
        <v>1.8</v>
      </c>
      <c r="L60" s="30">
        <v>3.1</v>
      </c>
      <c r="M60" s="18">
        <v>4.9000000000000004</v>
      </c>
      <c r="N60" s="178"/>
      <c r="O60" s="178"/>
    </row>
    <row r="61" spans="4:15">
      <c r="D61" s="18">
        <f t="shared" si="0"/>
        <v>43</v>
      </c>
      <c r="E61" s="18" t="s">
        <v>71</v>
      </c>
      <c r="F61" s="382">
        <v>63</v>
      </c>
      <c r="G61" s="382" t="s">
        <v>699</v>
      </c>
      <c r="H61" s="382" t="s">
        <v>665</v>
      </c>
      <c r="I61" s="382">
        <v>96.3</v>
      </c>
      <c r="J61" s="181" t="s">
        <v>276</v>
      </c>
      <c r="K61" s="18">
        <v>1.8</v>
      </c>
      <c r="L61" s="30">
        <v>3.1</v>
      </c>
      <c r="M61" s="18">
        <v>4.9000000000000004</v>
      </c>
      <c r="N61" s="178"/>
      <c r="O61" s="178"/>
    </row>
    <row r="62" spans="4:15">
      <c r="D62" s="18">
        <f t="shared" si="0"/>
        <v>44</v>
      </c>
      <c r="E62" s="18" t="s">
        <v>71</v>
      </c>
      <c r="F62" s="382">
        <v>63</v>
      </c>
      <c r="G62" s="382" t="s">
        <v>699</v>
      </c>
      <c r="H62" s="382" t="s">
        <v>84</v>
      </c>
      <c r="I62" s="382">
        <v>137</v>
      </c>
      <c r="J62" s="181" t="s">
        <v>276</v>
      </c>
      <c r="K62" s="18">
        <v>1.8</v>
      </c>
      <c r="L62" s="30">
        <v>3.1</v>
      </c>
      <c r="M62" s="18">
        <v>4.9000000000000004</v>
      </c>
      <c r="N62" s="178"/>
      <c r="O62" s="178"/>
    </row>
    <row r="63" spans="4:15" ht="15.75">
      <c r="D63" s="18"/>
      <c r="E63" s="18"/>
      <c r="F63" s="173"/>
      <c r="G63" s="173"/>
      <c r="H63" s="173"/>
      <c r="I63" s="173"/>
      <c r="J63" s="181"/>
      <c r="K63" s="18"/>
      <c r="L63" s="30"/>
      <c r="M63" s="18"/>
      <c r="N63" s="178"/>
      <c r="O63" s="178"/>
    </row>
    <row r="64" spans="4:15" ht="15.75">
      <c r="D64" s="18"/>
      <c r="E64" s="18"/>
      <c r="F64" s="173"/>
      <c r="G64" s="173"/>
      <c r="H64" s="173"/>
      <c r="I64" s="173"/>
      <c r="J64" s="181"/>
      <c r="K64" s="18"/>
      <c r="L64" s="30"/>
      <c r="M64" s="18"/>
      <c r="N64" s="178"/>
      <c r="O64" s="178"/>
    </row>
    <row r="65" spans="4:15" ht="15.75">
      <c r="D65" s="18"/>
      <c r="E65" s="18"/>
      <c r="F65" s="173"/>
      <c r="G65" s="173"/>
      <c r="H65" s="173"/>
      <c r="I65" s="173"/>
      <c r="J65" s="181"/>
      <c r="K65" s="18"/>
      <c r="L65" s="30"/>
      <c r="M65" s="18"/>
      <c r="N65" s="178"/>
      <c r="O65" s="178"/>
    </row>
    <row r="66" spans="4:15" ht="15.75">
      <c r="D66" s="18"/>
      <c r="E66" s="18"/>
      <c r="F66" s="173"/>
      <c r="G66" s="173"/>
      <c r="H66" s="173"/>
      <c r="I66" s="173"/>
      <c r="J66" s="181"/>
      <c r="K66" s="18"/>
      <c r="L66" s="30"/>
      <c r="M66" s="18"/>
      <c r="N66" s="178"/>
      <c r="O66" s="178"/>
    </row>
    <row r="67" spans="4:15" ht="15.75">
      <c r="D67" s="18"/>
      <c r="E67" s="18"/>
      <c r="F67" s="173"/>
      <c r="G67" s="173"/>
      <c r="H67" s="173"/>
      <c r="I67" s="173"/>
      <c r="J67" s="181"/>
      <c r="K67" s="18"/>
      <c r="L67" s="30"/>
      <c r="M67" s="18"/>
      <c r="N67" s="178"/>
      <c r="O67" s="178"/>
    </row>
    <row r="68" spans="4:15" ht="15.75">
      <c r="D68" s="18"/>
      <c r="E68" s="18"/>
      <c r="F68" s="173"/>
      <c r="G68" s="173"/>
      <c r="H68" s="173"/>
      <c r="I68" s="173"/>
      <c r="J68" s="181"/>
      <c r="K68" s="18"/>
      <c r="L68" s="30"/>
      <c r="M68" s="18"/>
      <c r="N68" s="178"/>
      <c r="O68" s="178"/>
    </row>
    <row r="69" spans="4:15" ht="15.75">
      <c r="D69" s="18"/>
      <c r="E69" s="18"/>
      <c r="F69" s="173"/>
      <c r="G69" s="173"/>
      <c r="H69" s="173"/>
      <c r="I69" s="173"/>
      <c r="J69" s="181"/>
      <c r="K69" s="18"/>
      <c r="L69" s="30"/>
      <c r="M69" s="18"/>
      <c r="N69" s="178"/>
      <c r="O69" s="178"/>
    </row>
    <row r="70" spans="4:15" ht="15.75">
      <c r="D70" s="18"/>
      <c r="E70" s="18"/>
      <c r="F70" s="173"/>
      <c r="G70" s="173"/>
      <c r="H70" s="173"/>
      <c r="I70" s="173"/>
      <c r="J70" s="181"/>
      <c r="K70" s="18"/>
      <c r="L70" s="30"/>
      <c r="M70" s="18"/>
      <c r="N70" s="178"/>
      <c r="O70" s="178"/>
    </row>
    <row r="71" spans="4:15" ht="15.75">
      <c r="D71" s="18"/>
      <c r="E71" s="18"/>
      <c r="F71" s="173"/>
      <c r="G71" s="173"/>
      <c r="H71" s="173"/>
      <c r="I71" s="173"/>
      <c r="J71" s="181"/>
      <c r="K71" s="18"/>
      <c r="L71" s="30"/>
      <c r="M71" s="18"/>
      <c r="N71" s="178"/>
      <c r="O71" s="178"/>
    </row>
    <row r="72" spans="4:15" ht="15.75">
      <c r="D72" s="18"/>
      <c r="E72" s="18"/>
      <c r="F72" s="173"/>
      <c r="G72" s="173"/>
      <c r="H72" s="173"/>
      <c r="I72" s="173"/>
      <c r="J72" s="181"/>
      <c r="K72" s="18"/>
      <c r="L72" s="30"/>
      <c r="M72" s="18"/>
      <c r="N72" s="178"/>
      <c r="O72" s="178"/>
    </row>
    <row r="73" spans="4:15" ht="15.75">
      <c r="D73" s="18"/>
      <c r="E73" s="18"/>
      <c r="F73" s="173"/>
      <c r="G73" s="173"/>
      <c r="H73" s="173"/>
      <c r="I73" s="173"/>
      <c r="J73" s="181"/>
      <c r="K73" s="18"/>
      <c r="L73" s="30"/>
      <c r="M73" s="18"/>
      <c r="N73" s="178"/>
      <c r="O73" s="178"/>
    </row>
    <row r="74" spans="4:15" ht="15.75">
      <c r="D74" s="18"/>
      <c r="E74" s="18"/>
      <c r="F74" s="173"/>
      <c r="G74" s="173"/>
      <c r="H74" s="173"/>
      <c r="I74" s="173"/>
      <c r="J74" s="181"/>
      <c r="K74" s="18"/>
      <c r="L74" s="30"/>
      <c r="M74" s="18"/>
      <c r="N74" s="178"/>
      <c r="O74" s="178"/>
    </row>
    <row r="75" spans="4:15" ht="15.75">
      <c r="D75" s="18"/>
      <c r="E75" s="18"/>
      <c r="F75" s="173"/>
      <c r="G75" s="173"/>
      <c r="H75" s="173"/>
      <c r="I75" s="173"/>
      <c r="J75" s="181"/>
      <c r="K75" s="18"/>
      <c r="L75" s="30"/>
      <c r="M75" s="18"/>
      <c r="N75" s="178"/>
      <c r="O75" s="178"/>
    </row>
    <row r="76" spans="4:15">
      <c r="D76" s="374"/>
      <c r="E76" s="374"/>
      <c r="F76" s="374"/>
      <c r="G76" s="374"/>
      <c r="H76" s="374"/>
      <c r="I76" s="374"/>
      <c r="J76" s="374"/>
      <c r="K76" s="374"/>
      <c r="L76" s="374"/>
      <c r="M76" s="374"/>
      <c r="N76" s="374"/>
      <c r="O76" s="374"/>
    </row>
    <row r="77" spans="4:15">
      <c r="D77" s="324"/>
      <c r="E77" s="324"/>
      <c r="F77" s="325" t="s">
        <v>86</v>
      </c>
      <c r="G77" s="325"/>
      <c r="H77" s="325"/>
      <c r="I77" s="325"/>
      <c r="J77" s="325" t="s">
        <v>87</v>
      </c>
      <c r="K77" s="325"/>
      <c r="L77" s="325"/>
      <c r="M77" s="325" t="s">
        <v>39</v>
      </c>
      <c r="N77" s="325"/>
      <c r="O77" s="325"/>
    </row>
    <row r="78" spans="4:15">
      <c r="D78" s="295" t="s">
        <v>40</v>
      </c>
      <c r="E78" s="295"/>
      <c r="F78" s="317"/>
      <c r="G78" s="317"/>
      <c r="H78" s="317"/>
      <c r="I78" s="317"/>
      <c r="J78" s="317"/>
      <c r="K78" s="317"/>
      <c r="L78" s="317"/>
      <c r="M78" s="317"/>
      <c r="N78" s="317"/>
      <c r="O78" s="317"/>
    </row>
    <row r="79" spans="4:15">
      <c r="D79" s="295" t="s">
        <v>41</v>
      </c>
      <c r="E79" s="295"/>
      <c r="F79" s="317"/>
      <c r="G79" s="317"/>
      <c r="H79" s="317"/>
      <c r="I79" s="317"/>
      <c r="J79" s="317"/>
      <c r="K79" s="317"/>
      <c r="L79" s="317"/>
      <c r="M79" s="317"/>
      <c r="N79" s="317"/>
      <c r="O79" s="317"/>
    </row>
    <row r="80" spans="4:15">
      <c r="D80" s="295" t="s">
        <v>42</v>
      </c>
      <c r="E80" s="295"/>
      <c r="F80" s="317"/>
      <c r="G80" s="317"/>
      <c r="H80" s="317"/>
      <c r="I80" s="317"/>
      <c r="J80" s="317"/>
      <c r="K80" s="317"/>
      <c r="L80" s="317"/>
      <c r="M80" s="317"/>
      <c r="N80" s="317"/>
      <c r="O80" s="317"/>
    </row>
    <row r="81" spans="4:15">
      <c r="D81" s="295" t="s">
        <v>43</v>
      </c>
      <c r="E81" s="295"/>
      <c r="F81" s="315"/>
      <c r="G81" s="316"/>
      <c r="H81" s="316"/>
      <c r="I81" s="316"/>
      <c r="J81" s="317"/>
      <c r="K81" s="317"/>
      <c r="L81" s="317"/>
      <c r="M81" s="317"/>
      <c r="N81" s="317"/>
      <c r="O81" s="317"/>
    </row>
    <row r="84" spans="4:15" ht="15.75" thickBot="1"/>
    <row r="85" spans="4:15">
      <c r="D85" s="206"/>
      <c r="E85" s="211" t="s">
        <v>44</v>
      </c>
      <c r="F85" s="212"/>
      <c r="G85" s="212"/>
      <c r="H85" s="212"/>
      <c r="I85" s="212"/>
      <c r="J85" s="212"/>
      <c r="K85" s="212"/>
      <c r="L85" s="212"/>
      <c r="M85" s="20"/>
      <c r="N85" s="20"/>
      <c r="O85" s="21"/>
    </row>
    <row r="86" spans="4:15">
      <c r="D86" s="207"/>
      <c r="E86" s="214"/>
      <c r="F86" s="215"/>
      <c r="G86" s="215"/>
      <c r="H86" s="215"/>
      <c r="I86" s="215"/>
      <c r="J86" s="215"/>
      <c r="K86" s="215"/>
      <c r="L86" s="215"/>
      <c r="O86" s="22"/>
    </row>
    <row r="87" spans="4:15">
      <c r="D87" s="207"/>
      <c r="E87" s="214"/>
      <c r="F87" s="215"/>
      <c r="G87" s="215"/>
      <c r="H87" s="215"/>
      <c r="I87" s="215"/>
      <c r="J87" s="215"/>
      <c r="K87" s="215"/>
      <c r="L87" s="215"/>
      <c r="O87" s="22"/>
    </row>
    <row r="88" spans="4:15">
      <c r="D88" s="207"/>
      <c r="E88" s="289"/>
      <c r="F88" s="290"/>
      <c r="G88" s="290"/>
      <c r="H88" s="290"/>
      <c r="I88" s="290"/>
      <c r="J88" s="290"/>
      <c r="K88" s="290"/>
      <c r="L88" s="290"/>
      <c r="O88" s="22"/>
    </row>
    <row r="89" spans="4:15" ht="16.5">
      <c r="D89" s="223" t="s">
        <v>45</v>
      </c>
      <c r="E89" s="224"/>
      <c r="F89" s="176" t="s">
        <v>46</v>
      </c>
      <c r="G89" s="177"/>
      <c r="H89" s="177"/>
      <c r="I89" s="177"/>
      <c r="J89" s="177"/>
      <c r="K89" s="177"/>
      <c r="L89" s="177"/>
      <c r="M89" s="177"/>
      <c r="N89" s="177"/>
      <c r="O89" s="23"/>
    </row>
    <row r="90" spans="4:15" ht="16.5">
      <c r="D90" s="223" t="s">
        <v>48</v>
      </c>
      <c r="E90" s="224"/>
      <c r="F90" s="176" t="s">
        <v>49</v>
      </c>
      <c r="G90" s="177"/>
      <c r="H90" s="177"/>
      <c r="I90" s="177"/>
      <c r="J90" s="177"/>
      <c r="K90" s="177"/>
      <c r="L90" s="177"/>
      <c r="M90" s="177"/>
      <c r="N90" s="177"/>
      <c r="O90" s="23"/>
    </row>
    <row r="91" spans="4:15" ht="16.5">
      <c r="D91" s="225" t="s">
        <v>50</v>
      </c>
      <c r="E91" s="226"/>
      <c r="F91" s="176" t="s">
        <v>51</v>
      </c>
      <c r="G91" s="177"/>
      <c r="H91" s="177"/>
      <c r="I91" s="177"/>
      <c r="J91" s="177"/>
      <c r="K91" s="177"/>
      <c r="L91" s="177"/>
      <c r="M91" s="177"/>
      <c r="N91" s="177"/>
      <c r="O91" s="23"/>
    </row>
    <row r="92" spans="4:15" ht="16.5">
      <c r="D92" s="223" t="s">
        <v>52</v>
      </c>
      <c r="E92" s="224"/>
      <c r="F92" s="176" t="s">
        <v>53</v>
      </c>
      <c r="G92" s="177"/>
      <c r="H92" s="177"/>
      <c r="I92" s="177"/>
      <c r="J92" s="177"/>
      <c r="K92" s="177"/>
      <c r="L92" s="177"/>
      <c r="M92" s="177"/>
      <c r="N92" s="177"/>
      <c r="O92" s="23"/>
    </row>
    <row r="93" spans="4:15" ht="15.75">
      <c r="D93" s="227" t="s">
        <v>1285</v>
      </c>
      <c r="E93" s="228"/>
      <c r="F93" s="228"/>
      <c r="G93" s="228"/>
      <c r="H93" s="228"/>
      <c r="I93" s="228"/>
      <c r="J93" s="228"/>
      <c r="K93" s="228"/>
      <c r="L93" s="228"/>
      <c r="M93" s="228"/>
      <c r="N93" s="228"/>
      <c r="O93" s="229"/>
    </row>
    <row r="94" spans="4:15" ht="15.75">
      <c r="D94" s="11" t="s">
        <v>55</v>
      </c>
      <c r="F94" s="12"/>
      <c r="G94" s="12"/>
      <c r="H94" s="12"/>
      <c r="I94" s="12"/>
      <c r="J94" s="24" t="s">
        <v>56</v>
      </c>
      <c r="K94" s="25"/>
      <c r="L94" s="12"/>
      <c r="M94" s="12"/>
      <c r="N94" s="12"/>
      <c r="O94" s="26"/>
    </row>
    <row r="95" spans="4:15">
      <c r="D95" s="217"/>
      <c r="E95" s="218"/>
      <c r="F95" s="218"/>
      <c r="G95" s="218"/>
      <c r="H95" s="218"/>
      <c r="I95" s="218"/>
      <c r="J95" s="218"/>
      <c r="K95" s="218"/>
      <c r="L95" s="218"/>
      <c r="M95" s="218"/>
      <c r="N95" s="218"/>
      <c r="O95" s="219"/>
    </row>
    <row r="96" spans="4:15" ht="15.75">
      <c r="D96" s="179" t="s">
        <v>103</v>
      </c>
      <c r="E96" s="355"/>
      <c r="F96" s="356"/>
      <c r="G96" s="356"/>
      <c r="H96" s="356"/>
      <c r="I96" s="357"/>
      <c r="J96" s="368" t="s">
        <v>542</v>
      </c>
      <c r="K96" s="369"/>
      <c r="L96" s="369"/>
      <c r="M96" s="369"/>
      <c r="N96" s="369"/>
      <c r="O96" s="370"/>
    </row>
    <row r="97" spans="4:15">
      <c r="D97" s="329" t="s">
        <v>59</v>
      </c>
      <c r="E97" s="209" t="s">
        <v>60</v>
      </c>
      <c r="F97" s="209" t="s">
        <v>659</v>
      </c>
      <c r="G97" s="209" t="s">
        <v>62</v>
      </c>
      <c r="H97" s="209" t="s">
        <v>63</v>
      </c>
      <c r="I97" s="209" t="s">
        <v>64</v>
      </c>
      <c r="J97" s="209" t="s">
        <v>65</v>
      </c>
      <c r="K97" s="342" t="s">
        <v>66</v>
      </c>
      <c r="L97" s="343"/>
      <c r="M97" s="344"/>
      <c r="N97" s="209" t="s">
        <v>30</v>
      </c>
      <c r="O97" s="328" t="s">
        <v>67</v>
      </c>
    </row>
    <row r="98" spans="4:15" ht="60">
      <c r="D98" s="359"/>
      <c r="E98" s="292"/>
      <c r="F98" s="292"/>
      <c r="G98" s="292"/>
      <c r="H98" s="292"/>
      <c r="I98" s="292"/>
      <c r="J98" s="292"/>
      <c r="K98" s="180" t="s">
        <v>68</v>
      </c>
      <c r="L98" s="28" t="s">
        <v>999</v>
      </c>
      <c r="M98" s="180" t="s">
        <v>70</v>
      </c>
      <c r="N98" s="292"/>
      <c r="O98" s="360"/>
    </row>
    <row r="99" spans="4:15">
      <c r="D99" s="18">
        <v>1</v>
      </c>
      <c r="E99" s="18" t="s">
        <v>71</v>
      </c>
      <c r="F99" s="382">
        <v>63</v>
      </c>
      <c r="G99" s="382" t="s">
        <v>84</v>
      </c>
      <c r="H99" s="382" t="s">
        <v>195</v>
      </c>
      <c r="I99" s="382">
        <v>217.4</v>
      </c>
      <c r="J99" s="181"/>
      <c r="K99" s="18"/>
      <c r="L99" s="30"/>
      <c r="M99" s="18"/>
      <c r="N99" s="178"/>
      <c r="O99" s="178"/>
    </row>
    <row r="100" spans="4:15">
      <c r="D100" s="18">
        <f>1+D99</f>
        <v>2</v>
      </c>
      <c r="E100" s="18" t="s">
        <v>71</v>
      </c>
      <c r="F100" s="382">
        <v>63</v>
      </c>
      <c r="G100" s="382" t="s">
        <v>116</v>
      </c>
      <c r="H100" s="382" t="s">
        <v>479</v>
      </c>
      <c r="I100" s="382">
        <v>429.7</v>
      </c>
      <c r="J100" s="181"/>
      <c r="K100" s="18"/>
      <c r="L100" s="30"/>
      <c r="M100" s="18"/>
      <c r="N100" s="178"/>
      <c r="O100" s="178"/>
    </row>
    <row r="101" spans="4:15">
      <c r="D101" s="18">
        <f t="shared" ref="D101:D115" si="1">1+D100</f>
        <v>3</v>
      </c>
      <c r="E101" s="18" t="s">
        <v>71</v>
      </c>
      <c r="F101" s="382">
        <v>63</v>
      </c>
      <c r="G101" s="382" t="s">
        <v>116</v>
      </c>
      <c r="H101" s="382" t="s">
        <v>479</v>
      </c>
      <c r="I101" s="383">
        <v>79.5</v>
      </c>
      <c r="J101" s="181"/>
      <c r="K101" s="18"/>
      <c r="L101" s="30"/>
      <c r="M101" s="18"/>
      <c r="N101" s="178"/>
      <c r="O101" s="178"/>
    </row>
    <row r="102" spans="4:15">
      <c r="D102" s="18">
        <f t="shared" si="1"/>
        <v>4</v>
      </c>
      <c r="E102" s="18" t="s">
        <v>71</v>
      </c>
      <c r="F102" s="382">
        <v>63</v>
      </c>
      <c r="G102" s="383" t="s">
        <v>479</v>
      </c>
      <c r="H102" s="383" t="s">
        <v>294</v>
      </c>
      <c r="I102" s="382">
        <v>216.6</v>
      </c>
      <c r="J102" s="181"/>
      <c r="K102" s="18"/>
      <c r="L102" s="30"/>
      <c r="M102" s="18"/>
      <c r="N102" s="178"/>
      <c r="O102" s="178"/>
    </row>
    <row r="103" spans="4:15">
      <c r="D103" s="18">
        <f t="shared" si="1"/>
        <v>5</v>
      </c>
      <c r="E103" s="18" t="s">
        <v>71</v>
      </c>
      <c r="F103" s="382">
        <v>63</v>
      </c>
      <c r="G103" s="382" t="s">
        <v>294</v>
      </c>
      <c r="H103" s="382" t="s">
        <v>116</v>
      </c>
      <c r="I103" s="382">
        <v>277.10000000000002</v>
      </c>
      <c r="J103" s="181"/>
      <c r="K103" s="18"/>
      <c r="L103" s="30"/>
      <c r="M103" s="18"/>
      <c r="N103" s="178"/>
      <c r="O103" s="178"/>
    </row>
    <row r="104" spans="4:15">
      <c r="D104" s="18">
        <f t="shared" si="1"/>
        <v>6</v>
      </c>
      <c r="E104" s="18" t="s">
        <v>71</v>
      </c>
      <c r="F104" s="382">
        <v>63</v>
      </c>
      <c r="G104" s="382" t="s">
        <v>84</v>
      </c>
      <c r="H104" s="382" t="s">
        <v>233</v>
      </c>
      <c r="I104" s="382">
        <v>136.4</v>
      </c>
      <c r="J104" s="181"/>
      <c r="K104" s="18"/>
      <c r="L104" s="30"/>
      <c r="M104" s="18"/>
      <c r="N104" s="178"/>
      <c r="O104" s="178"/>
    </row>
    <row r="105" spans="4:15">
      <c r="D105" s="18">
        <f t="shared" si="1"/>
        <v>7</v>
      </c>
      <c r="E105" s="18" t="s">
        <v>71</v>
      </c>
      <c r="F105" s="382">
        <v>63</v>
      </c>
      <c r="G105" s="382" t="s">
        <v>233</v>
      </c>
      <c r="H105" s="382" t="s">
        <v>214</v>
      </c>
      <c r="I105" s="382">
        <v>120.4</v>
      </c>
      <c r="J105" s="181"/>
      <c r="K105" s="18"/>
      <c r="L105" s="30"/>
      <c r="M105" s="18"/>
      <c r="N105" s="178"/>
      <c r="O105" s="178"/>
    </row>
    <row r="106" spans="4:15">
      <c r="D106" s="18">
        <f t="shared" si="1"/>
        <v>8</v>
      </c>
      <c r="E106" s="18" t="s">
        <v>71</v>
      </c>
      <c r="F106" s="382">
        <v>63</v>
      </c>
      <c r="G106" s="382" t="s">
        <v>335</v>
      </c>
      <c r="H106" s="382" t="s">
        <v>294</v>
      </c>
      <c r="I106" s="382">
        <v>240</v>
      </c>
      <c r="J106" s="181"/>
      <c r="K106" s="18"/>
      <c r="L106" s="30"/>
      <c r="M106" s="18"/>
      <c r="N106" s="178"/>
      <c r="O106" s="178"/>
    </row>
    <row r="107" spans="4:15">
      <c r="D107" s="18">
        <f t="shared" si="1"/>
        <v>9</v>
      </c>
      <c r="E107" s="18" t="s">
        <v>71</v>
      </c>
      <c r="F107" s="382">
        <v>63</v>
      </c>
      <c r="G107" s="382" t="s">
        <v>479</v>
      </c>
      <c r="H107" s="382" t="s">
        <v>183</v>
      </c>
      <c r="I107" s="382">
        <v>4.5</v>
      </c>
      <c r="J107" s="181"/>
      <c r="K107" s="18"/>
      <c r="L107" s="30"/>
      <c r="M107" s="18"/>
      <c r="N107" s="178"/>
      <c r="O107" s="178"/>
    </row>
    <row r="108" spans="4:15">
      <c r="D108" s="18">
        <f t="shared" si="1"/>
        <v>10</v>
      </c>
      <c r="E108" s="18" t="s">
        <v>71</v>
      </c>
      <c r="F108" s="382">
        <v>63</v>
      </c>
      <c r="G108" s="382" t="s">
        <v>479</v>
      </c>
      <c r="H108" s="382" t="s">
        <v>183</v>
      </c>
      <c r="I108" s="382">
        <v>212.6</v>
      </c>
      <c r="J108" s="181"/>
      <c r="K108" s="18"/>
      <c r="L108" s="30"/>
      <c r="M108" s="18"/>
      <c r="N108" s="178"/>
      <c r="O108" s="178"/>
    </row>
    <row r="109" spans="4:15">
      <c r="D109" s="18">
        <f t="shared" si="1"/>
        <v>11</v>
      </c>
      <c r="E109" s="18" t="s">
        <v>71</v>
      </c>
      <c r="F109" s="382">
        <v>63</v>
      </c>
      <c r="G109" s="382" t="s">
        <v>183</v>
      </c>
      <c r="H109" s="382" t="s">
        <v>803</v>
      </c>
      <c r="I109" s="382">
        <v>81</v>
      </c>
      <c r="J109" s="181"/>
      <c r="K109" s="18"/>
      <c r="L109" s="30"/>
      <c r="M109" s="18"/>
      <c r="N109" s="178"/>
      <c r="O109" s="178"/>
    </row>
    <row r="110" spans="4:15">
      <c r="D110" s="18">
        <f t="shared" si="1"/>
        <v>12</v>
      </c>
      <c r="E110" s="18" t="s">
        <v>71</v>
      </c>
      <c r="F110" s="382">
        <v>63</v>
      </c>
      <c r="G110" s="382" t="s">
        <v>183</v>
      </c>
      <c r="H110" s="382" t="s">
        <v>1107</v>
      </c>
      <c r="I110" s="382">
        <v>219.5</v>
      </c>
      <c r="J110" s="181"/>
      <c r="K110" s="18"/>
      <c r="L110" s="30"/>
      <c r="M110" s="18"/>
      <c r="N110" s="178"/>
      <c r="O110" s="178"/>
    </row>
    <row r="111" spans="4:15">
      <c r="D111" s="18">
        <f t="shared" si="1"/>
        <v>13</v>
      </c>
      <c r="E111" s="18" t="s">
        <v>71</v>
      </c>
      <c r="F111" s="382">
        <v>63</v>
      </c>
      <c r="G111" s="382" t="s">
        <v>183</v>
      </c>
      <c r="H111" s="382" t="s">
        <v>1107</v>
      </c>
      <c r="I111" s="382">
        <v>147.9</v>
      </c>
      <c r="J111" s="181"/>
      <c r="K111" s="18"/>
      <c r="L111" s="30"/>
      <c r="M111" s="18"/>
      <c r="N111" s="178"/>
      <c r="O111" s="178"/>
    </row>
    <row r="112" spans="4:15">
      <c r="D112" s="18">
        <f t="shared" si="1"/>
        <v>14</v>
      </c>
      <c r="E112" s="18" t="s">
        <v>71</v>
      </c>
      <c r="F112" s="382">
        <v>63</v>
      </c>
      <c r="G112" s="382" t="s">
        <v>1107</v>
      </c>
      <c r="H112" s="382" t="s">
        <v>727</v>
      </c>
      <c r="I112" s="382">
        <v>136.19999999999999</v>
      </c>
      <c r="J112" s="181"/>
      <c r="K112" s="18"/>
      <c r="L112" s="30"/>
      <c r="M112" s="18"/>
      <c r="N112" s="178"/>
      <c r="O112" s="178"/>
    </row>
    <row r="113" spans="4:15">
      <c r="D113" s="18">
        <f t="shared" si="1"/>
        <v>15</v>
      </c>
      <c r="E113" s="18" t="s">
        <v>71</v>
      </c>
      <c r="F113" s="382">
        <v>63</v>
      </c>
      <c r="G113" s="382" t="s">
        <v>1107</v>
      </c>
      <c r="H113" s="382" t="s">
        <v>350</v>
      </c>
      <c r="I113" s="382">
        <v>345</v>
      </c>
      <c r="J113" s="181"/>
      <c r="K113" s="18"/>
      <c r="L113" s="30"/>
      <c r="M113" s="18"/>
      <c r="N113" s="178"/>
      <c r="O113" s="178"/>
    </row>
    <row r="114" spans="4:15">
      <c r="D114" s="18">
        <f t="shared" si="1"/>
        <v>16</v>
      </c>
      <c r="E114" s="18" t="s">
        <v>71</v>
      </c>
      <c r="F114" s="382">
        <v>63</v>
      </c>
      <c r="G114" s="382" t="s">
        <v>350</v>
      </c>
      <c r="H114" s="382" t="s">
        <v>768</v>
      </c>
      <c r="I114" s="382">
        <v>73</v>
      </c>
      <c r="J114" s="181"/>
      <c r="K114" s="18"/>
      <c r="L114" s="30"/>
      <c r="M114" s="18"/>
      <c r="N114" s="178"/>
      <c r="O114" s="178"/>
    </row>
    <row r="115" spans="4:15">
      <c r="D115" s="18">
        <f t="shared" si="1"/>
        <v>17</v>
      </c>
      <c r="E115" s="18" t="s">
        <v>71</v>
      </c>
      <c r="F115" s="382">
        <v>63</v>
      </c>
      <c r="G115" s="383" t="s">
        <v>350</v>
      </c>
      <c r="H115" s="383" t="s">
        <v>310</v>
      </c>
      <c r="I115" s="382">
        <v>151.6</v>
      </c>
      <c r="J115" s="181"/>
      <c r="K115" s="18"/>
      <c r="L115" s="30"/>
      <c r="M115" s="18"/>
      <c r="N115" s="178"/>
      <c r="O115" s="178"/>
    </row>
    <row r="116" spans="4:15">
      <c r="D116" s="18"/>
      <c r="E116" s="18" t="s">
        <v>71</v>
      </c>
      <c r="F116" s="181">
        <v>63</v>
      </c>
      <c r="G116" s="181" t="s">
        <v>371</v>
      </c>
      <c r="H116" s="181" t="s">
        <v>341</v>
      </c>
      <c r="I116" s="181">
        <v>22.5</v>
      </c>
      <c r="J116" s="181"/>
      <c r="K116" s="18"/>
      <c r="L116" s="30"/>
      <c r="M116" s="18"/>
      <c r="N116" s="178"/>
      <c r="O116" s="178"/>
    </row>
    <row r="117" spans="4:15">
      <c r="D117" s="18"/>
      <c r="E117" s="18" t="s">
        <v>71</v>
      </c>
      <c r="F117" s="181">
        <v>63</v>
      </c>
      <c r="G117" s="181" t="s">
        <v>371</v>
      </c>
      <c r="H117" s="181" t="s">
        <v>426</v>
      </c>
      <c r="I117" s="181">
        <v>108.8</v>
      </c>
      <c r="J117" s="181"/>
      <c r="K117" s="18"/>
      <c r="L117" s="30"/>
      <c r="M117" s="18"/>
      <c r="N117" s="178"/>
      <c r="O117" s="178"/>
    </row>
    <row r="118" spans="4:15">
      <c r="D118" s="18"/>
      <c r="E118" s="18" t="s">
        <v>71</v>
      </c>
      <c r="F118" s="181">
        <v>63</v>
      </c>
      <c r="G118" s="181" t="s">
        <v>426</v>
      </c>
      <c r="H118" s="181" t="s">
        <v>368</v>
      </c>
      <c r="I118" s="181">
        <v>152.80000000000001</v>
      </c>
      <c r="J118" s="181"/>
      <c r="K118" s="18"/>
      <c r="L118" s="30"/>
      <c r="M118" s="18"/>
      <c r="N118" s="178"/>
      <c r="O118" s="178"/>
    </row>
    <row r="119" spans="4:15">
      <c r="D119" s="18"/>
      <c r="E119" s="18" t="s">
        <v>71</v>
      </c>
      <c r="F119" s="181">
        <v>63</v>
      </c>
      <c r="G119" s="181" t="s">
        <v>368</v>
      </c>
      <c r="H119" s="181" t="s">
        <v>454</v>
      </c>
      <c r="I119" s="181">
        <v>265.10000000000002</v>
      </c>
      <c r="J119" s="181"/>
      <c r="K119" s="18"/>
      <c r="L119" s="30"/>
      <c r="M119" s="18"/>
      <c r="N119" s="178"/>
      <c r="O119" s="178"/>
    </row>
    <row r="120" spans="4:15">
      <c r="D120" s="18"/>
      <c r="E120" s="18" t="s">
        <v>71</v>
      </c>
      <c r="F120" s="181">
        <v>63</v>
      </c>
      <c r="G120" s="181" t="s">
        <v>368</v>
      </c>
      <c r="H120" s="181" t="s">
        <v>454</v>
      </c>
      <c r="I120" s="181">
        <v>5.7</v>
      </c>
      <c r="J120" s="181"/>
      <c r="K120" s="18"/>
      <c r="L120" s="30"/>
      <c r="M120" s="18"/>
      <c r="N120" s="178"/>
      <c r="O120" s="178"/>
    </row>
    <row r="121" spans="4:15" ht="15.75">
      <c r="D121" s="18"/>
      <c r="E121" s="18"/>
      <c r="F121" s="173"/>
      <c r="G121" s="173"/>
      <c r="H121" s="173"/>
      <c r="I121" s="173"/>
      <c r="J121" s="181"/>
      <c r="K121" s="18"/>
      <c r="L121" s="30"/>
      <c r="M121" s="18"/>
      <c r="N121" s="178"/>
      <c r="O121" s="178"/>
    </row>
    <row r="122" spans="4:15" ht="15.75">
      <c r="D122" s="18"/>
      <c r="E122" s="18"/>
      <c r="F122" s="173"/>
      <c r="G122" s="173"/>
      <c r="H122" s="173"/>
      <c r="I122" s="173"/>
      <c r="J122" s="181"/>
      <c r="K122" s="18"/>
      <c r="L122" s="30"/>
      <c r="M122" s="18"/>
      <c r="N122" s="178"/>
      <c r="O122" s="178"/>
    </row>
    <row r="123" spans="4:15" ht="15.75">
      <c r="D123" s="18"/>
      <c r="E123" s="18"/>
      <c r="F123" s="173"/>
      <c r="G123" s="173"/>
      <c r="H123" s="173"/>
      <c r="I123" s="173"/>
      <c r="J123" s="181"/>
      <c r="K123" s="18"/>
      <c r="L123" s="30"/>
      <c r="M123" s="18"/>
      <c r="N123" s="178"/>
      <c r="O123" s="178"/>
    </row>
    <row r="124" spans="4:15" ht="15.75">
      <c r="D124" s="18"/>
      <c r="E124" s="18"/>
      <c r="F124" s="173"/>
      <c r="G124" s="173"/>
      <c r="H124" s="173"/>
      <c r="I124" s="173"/>
      <c r="J124" s="181"/>
      <c r="K124" s="18"/>
      <c r="L124" s="30"/>
      <c r="M124" s="18"/>
      <c r="N124" s="178"/>
      <c r="O124" s="178"/>
    </row>
    <row r="125" spans="4:15" ht="15.75">
      <c r="D125" s="18"/>
      <c r="E125" s="18"/>
      <c r="F125" s="173"/>
      <c r="G125" s="173"/>
      <c r="H125" s="173"/>
      <c r="I125" s="173"/>
      <c r="J125" s="181"/>
      <c r="K125" s="18"/>
      <c r="L125" s="30"/>
      <c r="M125" s="18"/>
      <c r="N125" s="178"/>
      <c r="O125" s="178"/>
    </row>
    <row r="126" spans="4:15" ht="15.75">
      <c r="D126" s="18"/>
      <c r="E126" s="18"/>
      <c r="F126" s="173"/>
      <c r="G126" s="173"/>
      <c r="H126" s="173"/>
      <c r="I126" s="173"/>
      <c r="J126" s="181"/>
      <c r="K126" s="18"/>
      <c r="L126" s="30"/>
      <c r="M126" s="18"/>
      <c r="N126" s="178"/>
      <c r="O126" s="178"/>
    </row>
    <row r="127" spans="4:15" ht="15.75">
      <c r="D127" s="18"/>
      <c r="E127" s="18"/>
      <c r="F127" s="173"/>
      <c r="G127" s="173"/>
      <c r="H127" s="173"/>
      <c r="I127" s="173"/>
      <c r="J127" s="181"/>
      <c r="K127" s="18"/>
      <c r="L127" s="30"/>
      <c r="M127" s="18"/>
      <c r="N127" s="178"/>
      <c r="O127" s="178"/>
    </row>
    <row r="128" spans="4:15" ht="15.75">
      <c r="D128" s="18"/>
      <c r="E128" s="18"/>
      <c r="F128" s="173"/>
      <c r="G128" s="173"/>
      <c r="H128" s="173"/>
      <c r="I128" s="173"/>
      <c r="J128" s="181"/>
      <c r="K128" s="18"/>
      <c r="L128" s="30"/>
      <c r="M128" s="18"/>
      <c r="N128" s="178"/>
      <c r="O128" s="178"/>
    </row>
    <row r="129" spans="4:15" ht="15.75">
      <c r="D129" s="18"/>
      <c r="E129" s="18"/>
      <c r="F129" s="173"/>
      <c r="G129" s="173"/>
      <c r="H129" s="173"/>
      <c r="I129" s="173"/>
      <c r="J129" s="181"/>
      <c r="K129" s="18"/>
      <c r="L129" s="30"/>
      <c r="M129" s="18"/>
      <c r="N129" s="178"/>
      <c r="O129" s="178"/>
    </row>
    <row r="130" spans="4:15" ht="15.75">
      <c r="D130" s="18"/>
      <c r="E130" s="18"/>
      <c r="F130" s="173"/>
      <c r="G130" s="173"/>
      <c r="H130" s="173"/>
      <c r="I130" s="173"/>
      <c r="J130" s="181"/>
      <c r="K130" s="18"/>
      <c r="L130" s="30"/>
      <c r="M130" s="18"/>
      <c r="N130" s="178"/>
      <c r="O130" s="178"/>
    </row>
    <row r="131" spans="4:15" ht="15.75">
      <c r="D131" s="18"/>
      <c r="E131" s="18"/>
      <c r="F131" s="173"/>
      <c r="G131" s="173"/>
      <c r="H131" s="173"/>
      <c r="I131" s="173"/>
      <c r="J131" s="181"/>
      <c r="K131" s="18"/>
      <c r="L131" s="30"/>
      <c r="M131" s="18"/>
      <c r="N131" s="178"/>
      <c r="O131" s="178"/>
    </row>
    <row r="132" spans="4:15" ht="15.75">
      <c r="D132" s="18"/>
      <c r="E132" s="18"/>
      <c r="F132" s="173"/>
      <c r="G132" s="173"/>
      <c r="H132" s="173"/>
      <c r="I132" s="173"/>
      <c r="J132" s="181"/>
      <c r="K132" s="18"/>
      <c r="L132" s="30"/>
      <c r="M132" s="18"/>
      <c r="N132" s="178"/>
      <c r="O132" s="178"/>
    </row>
    <row r="133" spans="4:15" ht="15.75">
      <c r="D133" s="18"/>
      <c r="E133" s="18"/>
      <c r="F133" s="173"/>
      <c r="G133" s="173"/>
      <c r="H133" s="173"/>
      <c r="I133" s="173"/>
      <c r="J133" s="181"/>
      <c r="K133" s="18"/>
      <c r="L133" s="30"/>
      <c r="M133" s="18"/>
      <c r="N133" s="178"/>
      <c r="O133" s="178"/>
    </row>
    <row r="134" spans="4:15" ht="15.75">
      <c r="D134" s="18"/>
      <c r="E134" s="18"/>
      <c r="F134" s="173"/>
      <c r="G134" s="173"/>
      <c r="H134" s="173"/>
      <c r="I134" s="173"/>
      <c r="J134" s="181"/>
      <c r="K134" s="18"/>
      <c r="L134" s="30"/>
      <c r="M134" s="18"/>
      <c r="N134" s="178"/>
      <c r="O134" s="178"/>
    </row>
    <row r="135" spans="4:15" ht="15.75">
      <c r="D135" s="18"/>
      <c r="E135" s="18"/>
      <c r="F135" s="173"/>
      <c r="G135" s="173"/>
      <c r="H135" s="173"/>
      <c r="I135" s="173"/>
      <c r="J135" s="181"/>
      <c r="K135" s="18"/>
      <c r="L135" s="30"/>
      <c r="M135" s="18"/>
      <c r="N135" s="178"/>
      <c r="O135" s="178"/>
    </row>
    <row r="136" spans="4:15" ht="15.75">
      <c r="D136" s="18"/>
      <c r="E136" s="18"/>
      <c r="F136" s="173"/>
      <c r="G136" s="173"/>
      <c r="H136" s="173"/>
      <c r="I136" s="173"/>
      <c r="J136" s="181"/>
      <c r="K136" s="18"/>
      <c r="L136" s="30"/>
      <c r="M136" s="18"/>
      <c r="N136" s="178"/>
      <c r="O136" s="178"/>
    </row>
    <row r="137" spans="4:15" ht="15.75">
      <c r="D137" s="18"/>
      <c r="E137" s="18"/>
      <c r="F137" s="173"/>
      <c r="G137" s="173"/>
      <c r="H137" s="173"/>
      <c r="I137" s="173"/>
      <c r="J137" s="181"/>
      <c r="K137" s="18"/>
      <c r="L137" s="30"/>
      <c r="M137" s="18"/>
      <c r="N137" s="178"/>
      <c r="O137" s="178"/>
    </row>
    <row r="138" spans="4:15" ht="15.75">
      <c r="D138" s="18"/>
      <c r="E138" s="18"/>
      <c r="F138" s="173"/>
      <c r="G138" s="173"/>
      <c r="H138" s="173"/>
      <c r="I138" s="173"/>
      <c r="J138" s="181"/>
      <c r="K138" s="18"/>
      <c r="L138" s="30"/>
      <c r="M138" s="18"/>
      <c r="N138" s="178"/>
      <c r="O138" s="178"/>
    </row>
    <row r="139" spans="4:15" ht="15.75">
      <c r="D139" s="18"/>
      <c r="E139" s="18"/>
      <c r="F139" s="173"/>
      <c r="G139" s="173"/>
      <c r="H139" s="173"/>
      <c r="I139" s="173"/>
      <c r="J139" s="181"/>
      <c r="K139" s="18"/>
      <c r="L139" s="30"/>
      <c r="M139" s="18"/>
      <c r="N139" s="178"/>
      <c r="O139" s="178"/>
    </row>
    <row r="140" spans="4:15" ht="15.75">
      <c r="D140" s="18"/>
      <c r="E140" s="18"/>
      <c r="F140" s="173"/>
      <c r="G140" s="173"/>
      <c r="H140" s="173"/>
      <c r="I140" s="173"/>
      <c r="J140" s="181"/>
      <c r="K140" s="18"/>
      <c r="L140" s="30"/>
      <c r="M140" s="18"/>
      <c r="N140" s="178"/>
      <c r="O140" s="178"/>
    </row>
    <row r="141" spans="4:15">
      <c r="D141" s="374"/>
      <c r="E141" s="374"/>
      <c r="F141" s="374"/>
      <c r="G141" s="374"/>
      <c r="H141" s="374"/>
      <c r="I141" s="374"/>
      <c r="J141" s="374"/>
      <c r="K141" s="374"/>
      <c r="L141" s="374"/>
      <c r="M141" s="374"/>
      <c r="N141" s="374"/>
      <c r="O141" s="374"/>
    </row>
    <row r="142" spans="4:15">
      <c r="D142" s="324"/>
      <c r="E142" s="324"/>
      <c r="F142" s="325" t="s">
        <v>86</v>
      </c>
      <c r="G142" s="325"/>
      <c r="H142" s="325"/>
      <c r="I142" s="325"/>
      <c r="J142" s="325" t="s">
        <v>87</v>
      </c>
      <c r="K142" s="325"/>
      <c r="L142" s="325"/>
      <c r="M142" s="325" t="s">
        <v>39</v>
      </c>
      <c r="N142" s="325"/>
      <c r="O142" s="325"/>
    </row>
    <row r="143" spans="4:15">
      <c r="D143" s="295" t="s">
        <v>40</v>
      </c>
      <c r="E143" s="295"/>
      <c r="F143" s="317"/>
      <c r="G143" s="317"/>
      <c r="H143" s="317"/>
      <c r="I143" s="317"/>
      <c r="J143" s="317"/>
      <c r="K143" s="317"/>
      <c r="L143" s="317"/>
      <c r="M143" s="317"/>
      <c r="N143" s="317"/>
      <c r="O143" s="317"/>
    </row>
    <row r="144" spans="4:15">
      <c r="D144" s="295" t="s">
        <v>41</v>
      </c>
      <c r="E144" s="295"/>
      <c r="F144" s="317"/>
      <c r="G144" s="317"/>
      <c r="H144" s="317"/>
      <c r="I144" s="317"/>
      <c r="J144" s="317"/>
      <c r="K144" s="317"/>
      <c r="L144" s="317"/>
      <c r="M144" s="317"/>
      <c r="N144" s="317"/>
      <c r="O144" s="317"/>
    </row>
    <row r="145" spans="4:15">
      <c r="D145" s="295" t="s">
        <v>42</v>
      </c>
      <c r="E145" s="295"/>
      <c r="F145" s="317"/>
      <c r="G145" s="317"/>
      <c r="H145" s="317"/>
      <c r="I145" s="317"/>
      <c r="J145" s="317"/>
      <c r="K145" s="317"/>
      <c r="L145" s="317"/>
      <c r="M145" s="317"/>
      <c r="N145" s="317"/>
      <c r="O145" s="317"/>
    </row>
    <row r="146" spans="4:15">
      <c r="D146" s="295" t="s">
        <v>43</v>
      </c>
      <c r="E146" s="295"/>
      <c r="F146" s="315"/>
      <c r="G146" s="316"/>
      <c r="H146" s="316"/>
      <c r="I146" s="316"/>
      <c r="J146" s="317"/>
      <c r="K146" s="317"/>
      <c r="L146" s="317"/>
      <c r="M146" s="317"/>
      <c r="N146" s="317"/>
      <c r="O146" s="317"/>
    </row>
    <row r="148" spans="4:15" ht="15.75" thickBot="1"/>
    <row r="149" spans="4:15">
      <c r="D149" s="206"/>
      <c r="E149" s="211" t="s">
        <v>44</v>
      </c>
      <c r="F149" s="212"/>
      <c r="G149" s="212"/>
      <c r="H149" s="212"/>
      <c r="I149" s="212"/>
      <c r="J149" s="212"/>
      <c r="K149" s="212"/>
      <c r="L149" s="212"/>
      <c r="M149" s="20"/>
      <c r="N149" s="20"/>
      <c r="O149" s="21"/>
    </row>
    <row r="150" spans="4:15">
      <c r="D150" s="207"/>
      <c r="E150" s="214"/>
      <c r="F150" s="215"/>
      <c r="G150" s="215"/>
      <c r="H150" s="215"/>
      <c r="I150" s="215"/>
      <c r="J150" s="215"/>
      <c r="K150" s="215"/>
      <c r="L150" s="215"/>
      <c r="O150" s="22"/>
    </row>
    <row r="151" spans="4:15">
      <c r="D151" s="207"/>
      <c r="E151" s="214"/>
      <c r="F151" s="215"/>
      <c r="G151" s="215"/>
      <c r="H151" s="215"/>
      <c r="I151" s="215"/>
      <c r="J151" s="215"/>
      <c r="K151" s="215"/>
      <c r="L151" s="215"/>
      <c r="O151" s="22"/>
    </row>
    <row r="152" spans="4:15">
      <c r="D152" s="207"/>
      <c r="E152" s="289"/>
      <c r="F152" s="290"/>
      <c r="G152" s="290"/>
      <c r="H152" s="290"/>
      <c r="I152" s="290"/>
      <c r="J152" s="290"/>
      <c r="K152" s="290"/>
      <c r="L152" s="290"/>
      <c r="O152" s="22"/>
    </row>
    <row r="153" spans="4:15" ht="16.5">
      <c r="D153" s="223" t="s">
        <v>45</v>
      </c>
      <c r="E153" s="224"/>
      <c r="F153" s="176" t="s">
        <v>46</v>
      </c>
      <c r="G153" s="177"/>
      <c r="H153" s="177"/>
      <c r="I153" s="177"/>
      <c r="J153" s="177"/>
      <c r="K153" s="177"/>
      <c r="L153" s="177"/>
      <c r="M153" s="177"/>
      <c r="N153" s="177"/>
      <c r="O153" s="23"/>
    </row>
    <row r="154" spans="4:15" ht="16.5">
      <c r="D154" s="223" t="s">
        <v>48</v>
      </c>
      <c r="E154" s="224"/>
      <c r="F154" s="176" t="s">
        <v>49</v>
      </c>
      <c r="G154" s="177"/>
      <c r="H154" s="177"/>
      <c r="I154" s="177"/>
      <c r="J154" s="177"/>
      <c r="K154" s="177"/>
      <c r="L154" s="177"/>
      <c r="M154" s="177"/>
      <c r="N154" s="177"/>
      <c r="O154" s="23"/>
    </row>
    <row r="155" spans="4:15" ht="16.5">
      <c r="D155" s="225" t="s">
        <v>50</v>
      </c>
      <c r="E155" s="226"/>
      <c r="F155" s="176" t="s">
        <v>51</v>
      </c>
      <c r="G155" s="177"/>
      <c r="H155" s="177"/>
      <c r="I155" s="177"/>
      <c r="J155" s="177"/>
      <c r="K155" s="177"/>
      <c r="L155" s="177"/>
      <c r="M155" s="177"/>
      <c r="N155" s="177"/>
      <c r="O155" s="23"/>
    </row>
    <row r="156" spans="4:15" ht="16.5">
      <c r="D156" s="223" t="s">
        <v>52</v>
      </c>
      <c r="E156" s="224"/>
      <c r="F156" s="176" t="s">
        <v>53</v>
      </c>
      <c r="G156" s="177"/>
      <c r="H156" s="177"/>
      <c r="I156" s="177"/>
      <c r="J156" s="177"/>
      <c r="K156" s="177"/>
      <c r="L156" s="177"/>
      <c r="M156" s="177"/>
      <c r="N156" s="177"/>
      <c r="O156" s="23"/>
    </row>
    <row r="157" spans="4:15" ht="15.75">
      <c r="D157" s="227" t="s">
        <v>1285</v>
      </c>
      <c r="E157" s="228"/>
      <c r="F157" s="228"/>
      <c r="G157" s="228"/>
      <c r="H157" s="228"/>
      <c r="I157" s="228"/>
      <c r="J157" s="228"/>
      <c r="K157" s="228"/>
      <c r="L157" s="228"/>
      <c r="M157" s="228"/>
      <c r="N157" s="228"/>
      <c r="O157" s="229"/>
    </row>
    <row r="158" spans="4:15" ht="15.75">
      <c r="D158" s="11" t="s">
        <v>55</v>
      </c>
      <c r="F158" s="12"/>
      <c r="G158" s="12"/>
      <c r="H158" s="12"/>
      <c r="I158" s="12"/>
      <c r="J158" s="24" t="s">
        <v>56</v>
      </c>
      <c r="K158" s="25"/>
      <c r="L158" s="12"/>
      <c r="M158" s="12"/>
      <c r="N158" s="12"/>
      <c r="O158" s="26"/>
    </row>
    <row r="159" spans="4:15">
      <c r="D159" s="217"/>
      <c r="E159" s="218"/>
      <c r="F159" s="218"/>
      <c r="G159" s="218"/>
      <c r="H159" s="218"/>
      <c r="I159" s="218"/>
      <c r="J159" s="218"/>
      <c r="K159" s="218"/>
      <c r="L159" s="218"/>
      <c r="M159" s="218"/>
      <c r="N159" s="218"/>
      <c r="O159" s="219"/>
    </row>
    <row r="160" spans="4:15" ht="15.75">
      <c r="D160" s="179" t="s">
        <v>103</v>
      </c>
      <c r="E160" s="355"/>
      <c r="F160" s="356"/>
      <c r="G160" s="356"/>
      <c r="H160" s="356"/>
      <c r="I160" s="357"/>
      <c r="J160" s="368" t="s">
        <v>542</v>
      </c>
      <c r="K160" s="369"/>
      <c r="L160" s="369"/>
      <c r="M160" s="369"/>
      <c r="N160" s="369"/>
      <c r="O160" s="370"/>
    </row>
    <row r="161" spans="4:15">
      <c r="D161" s="329" t="s">
        <v>59</v>
      </c>
      <c r="E161" s="209" t="s">
        <v>60</v>
      </c>
      <c r="F161" s="209" t="s">
        <v>659</v>
      </c>
      <c r="G161" s="209" t="s">
        <v>62</v>
      </c>
      <c r="H161" s="209" t="s">
        <v>63</v>
      </c>
      <c r="I161" s="209" t="s">
        <v>64</v>
      </c>
      <c r="J161" s="209" t="s">
        <v>65</v>
      </c>
      <c r="K161" s="342" t="s">
        <v>66</v>
      </c>
      <c r="L161" s="343"/>
      <c r="M161" s="344"/>
      <c r="N161" s="209" t="s">
        <v>30</v>
      </c>
      <c r="O161" s="328" t="s">
        <v>67</v>
      </c>
    </row>
    <row r="162" spans="4:15" ht="60">
      <c r="D162" s="359"/>
      <c r="E162" s="292"/>
      <c r="F162" s="292"/>
      <c r="G162" s="292"/>
      <c r="H162" s="292"/>
      <c r="I162" s="292"/>
      <c r="J162" s="292"/>
      <c r="K162" s="180" t="s">
        <v>68</v>
      </c>
      <c r="L162" s="28" t="s">
        <v>999</v>
      </c>
      <c r="M162" s="180" t="s">
        <v>70</v>
      </c>
      <c r="N162" s="292"/>
      <c r="O162" s="360"/>
    </row>
    <row r="163" spans="4:15">
      <c r="D163" s="18">
        <v>1</v>
      </c>
      <c r="E163" s="18" t="s">
        <v>71</v>
      </c>
      <c r="F163" s="181">
        <v>63</v>
      </c>
      <c r="G163" s="181" t="s">
        <v>495</v>
      </c>
      <c r="H163" s="181" t="s">
        <v>960</v>
      </c>
      <c r="I163" s="181">
        <v>25.6</v>
      </c>
      <c r="J163" s="181"/>
      <c r="K163" s="18"/>
      <c r="L163" s="30"/>
      <c r="M163" s="18"/>
      <c r="N163" s="178"/>
      <c r="O163" s="178"/>
    </row>
    <row r="164" spans="4:15">
      <c r="D164" s="18">
        <f>1+D163</f>
        <v>2</v>
      </c>
      <c r="E164" s="18" t="s">
        <v>71</v>
      </c>
      <c r="F164" s="181">
        <v>63</v>
      </c>
      <c r="G164" s="181" t="s">
        <v>454</v>
      </c>
      <c r="H164" s="181" t="s">
        <v>444</v>
      </c>
      <c r="I164" s="181">
        <v>265.60000000000002</v>
      </c>
      <c r="J164" s="181"/>
      <c r="K164" s="18"/>
      <c r="L164" s="30"/>
      <c r="M164" s="18"/>
      <c r="N164" s="178"/>
      <c r="O164" s="178"/>
    </row>
    <row r="165" spans="4:15">
      <c r="D165" s="18">
        <f t="shared" ref="D165:D208" si="2">1+D164</f>
        <v>3</v>
      </c>
      <c r="E165" s="18" t="s">
        <v>71</v>
      </c>
      <c r="F165" s="181">
        <v>63</v>
      </c>
      <c r="G165" s="181" t="s">
        <v>444</v>
      </c>
      <c r="H165" s="181" t="s">
        <v>353</v>
      </c>
      <c r="I165" s="181">
        <v>3.5</v>
      </c>
      <c r="J165" s="181"/>
      <c r="K165" s="18"/>
      <c r="L165" s="30"/>
      <c r="M165" s="18"/>
      <c r="N165" s="178"/>
      <c r="O165" s="178"/>
    </row>
    <row r="166" spans="4:15">
      <c r="D166" s="18">
        <f t="shared" si="2"/>
        <v>4</v>
      </c>
      <c r="E166" s="18" t="s">
        <v>71</v>
      </c>
      <c r="F166" s="181">
        <v>63</v>
      </c>
      <c r="G166" s="181" t="s">
        <v>444</v>
      </c>
      <c r="H166" s="181" t="s">
        <v>353</v>
      </c>
      <c r="I166" s="181">
        <v>291.5</v>
      </c>
      <c r="J166" s="181"/>
      <c r="K166" s="18"/>
      <c r="L166" s="30"/>
      <c r="M166" s="18"/>
      <c r="N166" s="178"/>
      <c r="O166" s="178"/>
    </row>
    <row r="167" spans="4:15">
      <c r="D167" s="18">
        <f t="shared" si="2"/>
        <v>5</v>
      </c>
      <c r="E167" s="18" t="s">
        <v>71</v>
      </c>
      <c r="F167" s="181">
        <v>63</v>
      </c>
      <c r="G167" s="181" t="s">
        <v>444</v>
      </c>
      <c r="H167" s="181" t="s">
        <v>353</v>
      </c>
      <c r="I167" s="181">
        <v>67.5</v>
      </c>
      <c r="J167" s="181"/>
      <c r="K167" s="18"/>
      <c r="L167" s="30"/>
      <c r="M167" s="18"/>
      <c r="N167" s="178"/>
      <c r="O167" s="178"/>
    </row>
    <row r="168" spans="4:15">
      <c r="D168" s="18">
        <f t="shared" si="2"/>
        <v>6</v>
      </c>
      <c r="E168" s="18" t="s">
        <v>71</v>
      </c>
      <c r="F168" s="181">
        <v>63</v>
      </c>
      <c r="G168" s="181" t="s">
        <v>429</v>
      </c>
      <c r="H168" s="181" t="s">
        <v>123</v>
      </c>
      <c r="I168" s="181">
        <v>75.7</v>
      </c>
      <c r="J168" s="181"/>
      <c r="K168" s="18"/>
      <c r="L168" s="30"/>
      <c r="M168" s="18"/>
      <c r="N168" s="178"/>
      <c r="O168" s="178"/>
    </row>
    <row r="169" spans="4:15">
      <c r="D169" s="18">
        <f t="shared" si="2"/>
        <v>7</v>
      </c>
      <c r="E169" s="18" t="s">
        <v>71</v>
      </c>
      <c r="F169" s="181">
        <v>63</v>
      </c>
      <c r="G169" s="181" t="s">
        <v>429</v>
      </c>
      <c r="H169" s="181" t="s">
        <v>175</v>
      </c>
      <c r="I169" s="181">
        <v>97.1</v>
      </c>
      <c r="J169" s="181"/>
      <c r="K169" s="18"/>
      <c r="L169" s="30"/>
      <c r="M169" s="18"/>
      <c r="N169" s="178"/>
      <c r="O169" s="178"/>
    </row>
    <row r="170" spans="4:15">
      <c r="D170" s="18">
        <f t="shared" si="2"/>
        <v>8</v>
      </c>
      <c r="E170" s="18" t="s">
        <v>71</v>
      </c>
      <c r="F170" s="181">
        <v>63</v>
      </c>
      <c r="G170" s="181" t="s">
        <v>175</v>
      </c>
      <c r="H170" s="181" t="s">
        <v>661</v>
      </c>
      <c r="I170" s="181">
        <v>24.1</v>
      </c>
      <c r="J170" s="181"/>
      <c r="K170" s="18"/>
      <c r="L170" s="30"/>
      <c r="M170" s="18"/>
      <c r="N170" s="178"/>
      <c r="O170" s="178"/>
    </row>
    <row r="171" spans="4:15">
      <c r="D171" s="18">
        <f t="shared" si="2"/>
        <v>9</v>
      </c>
      <c r="E171" s="18" t="s">
        <v>71</v>
      </c>
      <c r="F171" s="181">
        <v>63</v>
      </c>
      <c r="G171" s="181" t="s">
        <v>175</v>
      </c>
      <c r="H171" s="181" t="s">
        <v>342</v>
      </c>
      <c r="I171" s="181">
        <v>43.7</v>
      </c>
      <c r="J171" s="181"/>
      <c r="K171" s="18"/>
      <c r="L171" s="30"/>
      <c r="M171" s="18"/>
      <c r="N171" s="178"/>
      <c r="O171" s="178"/>
    </row>
    <row r="172" spans="4:15">
      <c r="D172" s="18">
        <f t="shared" si="2"/>
        <v>10</v>
      </c>
      <c r="E172" s="18" t="s">
        <v>71</v>
      </c>
      <c r="F172" s="181">
        <v>63</v>
      </c>
      <c r="G172" s="181" t="s">
        <v>342</v>
      </c>
      <c r="H172" s="181" t="s">
        <v>451</v>
      </c>
      <c r="I172" s="181">
        <v>78.900000000000006</v>
      </c>
      <c r="J172" s="181"/>
      <c r="K172" s="18"/>
      <c r="L172" s="30"/>
      <c r="M172" s="18"/>
      <c r="N172" s="178"/>
      <c r="O172" s="178"/>
    </row>
    <row r="173" spans="4:15">
      <c r="D173" s="18">
        <f t="shared" si="2"/>
        <v>11</v>
      </c>
      <c r="E173" s="18" t="s">
        <v>71</v>
      </c>
      <c r="F173" s="181">
        <v>63</v>
      </c>
      <c r="G173" s="181" t="s">
        <v>342</v>
      </c>
      <c r="H173" s="181" t="s">
        <v>769</v>
      </c>
      <c r="I173" s="181">
        <v>22.1</v>
      </c>
      <c r="J173" s="181"/>
      <c r="K173" s="18"/>
      <c r="L173" s="30"/>
      <c r="M173" s="18"/>
      <c r="N173" s="178"/>
      <c r="O173" s="178"/>
    </row>
    <row r="174" spans="4:15">
      <c r="D174" s="18">
        <f t="shared" si="2"/>
        <v>12</v>
      </c>
      <c r="E174" s="18" t="s">
        <v>71</v>
      </c>
      <c r="F174" s="181">
        <v>63</v>
      </c>
      <c r="G174" s="181" t="s">
        <v>342</v>
      </c>
      <c r="H174" s="181" t="s">
        <v>769</v>
      </c>
      <c r="I174" s="181">
        <v>17.100000000000001</v>
      </c>
      <c r="J174" s="181"/>
      <c r="K174" s="18"/>
      <c r="L174" s="30"/>
      <c r="M174" s="18"/>
      <c r="N174" s="178"/>
      <c r="O174" s="178"/>
    </row>
    <row r="175" spans="4:15">
      <c r="D175" s="18">
        <f t="shared" si="2"/>
        <v>13</v>
      </c>
      <c r="E175" s="18" t="s">
        <v>71</v>
      </c>
      <c r="F175" s="181">
        <v>63</v>
      </c>
      <c r="G175" s="181" t="s">
        <v>769</v>
      </c>
      <c r="H175" s="181" t="s">
        <v>377</v>
      </c>
      <c r="I175" s="181">
        <v>14.5</v>
      </c>
      <c r="J175" s="181"/>
      <c r="K175" s="18"/>
      <c r="L175" s="30"/>
      <c r="M175" s="18"/>
      <c r="N175" s="178"/>
      <c r="O175" s="178"/>
    </row>
    <row r="176" spans="4:15">
      <c r="D176" s="18">
        <f t="shared" si="2"/>
        <v>14</v>
      </c>
      <c r="E176" s="18" t="s">
        <v>71</v>
      </c>
      <c r="F176" s="181">
        <v>63</v>
      </c>
      <c r="G176" s="181" t="s">
        <v>769</v>
      </c>
      <c r="H176" s="181" t="s">
        <v>168</v>
      </c>
      <c r="I176" s="181">
        <v>143.69999999999999</v>
      </c>
      <c r="J176" s="181"/>
      <c r="K176" s="18"/>
      <c r="L176" s="30"/>
      <c r="M176" s="18"/>
      <c r="N176" s="178"/>
      <c r="O176" s="178"/>
    </row>
    <row r="177" spans="4:15">
      <c r="D177" s="18">
        <f t="shared" si="2"/>
        <v>15</v>
      </c>
      <c r="E177" s="18" t="s">
        <v>71</v>
      </c>
      <c r="F177" s="181">
        <v>63</v>
      </c>
      <c r="G177" s="181" t="s">
        <v>769</v>
      </c>
      <c r="H177" s="181" t="s">
        <v>377</v>
      </c>
      <c r="I177" s="181">
        <v>23.8</v>
      </c>
      <c r="J177" s="181"/>
      <c r="K177" s="18"/>
      <c r="L177" s="30"/>
      <c r="M177" s="18"/>
      <c r="N177" s="178"/>
      <c r="O177" s="178"/>
    </row>
    <row r="178" spans="4:15">
      <c r="D178" s="18">
        <f t="shared" si="2"/>
        <v>16</v>
      </c>
      <c r="E178" s="18" t="s">
        <v>71</v>
      </c>
      <c r="F178" s="181">
        <v>63</v>
      </c>
      <c r="G178" s="181" t="s">
        <v>769</v>
      </c>
      <c r="H178" s="181" t="s">
        <v>168</v>
      </c>
      <c r="I178" s="181">
        <v>23.4</v>
      </c>
      <c r="J178" s="181"/>
      <c r="K178" s="18"/>
      <c r="L178" s="30"/>
      <c r="M178" s="18"/>
      <c r="N178" s="178"/>
      <c r="O178" s="178"/>
    </row>
    <row r="179" spans="4:15">
      <c r="D179" s="18">
        <f t="shared" si="2"/>
        <v>17</v>
      </c>
      <c r="E179" s="18" t="s">
        <v>71</v>
      </c>
      <c r="F179" s="181">
        <v>63</v>
      </c>
      <c r="G179" s="181" t="s">
        <v>769</v>
      </c>
      <c r="H179" s="181" t="s">
        <v>168</v>
      </c>
      <c r="I179" s="181">
        <v>106.7</v>
      </c>
      <c r="J179" s="181"/>
      <c r="K179" s="18"/>
      <c r="L179" s="30"/>
      <c r="M179" s="18"/>
      <c r="N179" s="178"/>
      <c r="O179" s="178"/>
    </row>
    <row r="180" spans="4:15">
      <c r="D180" s="18">
        <f t="shared" si="2"/>
        <v>18</v>
      </c>
      <c r="E180" s="18" t="s">
        <v>71</v>
      </c>
      <c r="F180" s="181">
        <v>63</v>
      </c>
      <c r="G180" s="181" t="s">
        <v>168</v>
      </c>
      <c r="H180" s="181" t="s">
        <v>167</v>
      </c>
      <c r="I180" s="181">
        <v>17.7</v>
      </c>
      <c r="J180" s="181"/>
      <c r="K180" s="18"/>
      <c r="L180" s="30"/>
      <c r="M180" s="18"/>
      <c r="N180" s="178"/>
      <c r="O180" s="178"/>
    </row>
    <row r="181" spans="4:15">
      <c r="D181" s="18">
        <f t="shared" si="2"/>
        <v>19</v>
      </c>
      <c r="E181" s="18" t="s">
        <v>71</v>
      </c>
      <c r="F181" s="181">
        <v>63</v>
      </c>
      <c r="G181" s="181" t="s">
        <v>168</v>
      </c>
      <c r="H181" s="181" t="s">
        <v>167</v>
      </c>
      <c r="I181" s="181">
        <v>64.7</v>
      </c>
      <c r="J181" s="181"/>
      <c r="K181" s="18"/>
      <c r="L181" s="30"/>
      <c r="M181" s="18"/>
      <c r="N181" s="178"/>
      <c r="O181" s="178"/>
    </row>
    <row r="182" spans="4:15">
      <c r="D182" s="18">
        <f t="shared" si="2"/>
        <v>20</v>
      </c>
      <c r="E182" s="18" t="s">
        <v>71</v>
      </c>
      <c r="F182" s="181">
        <v>63</v>
      </c>
      <c r="G182" s="181" t="s">
        <v>168</v>
      </c>
      <c r="H182" s="181" t="s">
        <v>167</v>
      </c>
      <c r="I182" s="181">
        <v>11.1</v>
      </c>
      <c r="J182" s="181"/>
      <c r="K182" s="18"/>
      <c r="L182" s="30"/>
      <c r="M182" s="18"/>
      <c r="N182" s="178"/>
      <c r="O182" s="178"/>
    </row>
    <row r="183" spans="4:15">
      <c r="D183" s="18">
        <f t="shared" si="2"/>
        <v>21</v>
      </c>
      <c r="E183" s="18" t="s">
        <v>71</v>
      </c>
      <c r="F183" s="181">
        <v>63</v>
      </c>
      <c r="G183" s="181" t="s">
        <v>168</v>
      </c>
      <c r="H183" s="181" t="s">
        <v>167</v>
      </c>
      <c r="I183" s="181">
        <v>27.7</v>
      </c>
      <c r="J183" s="181"/>
      <c r="K183" s="18"/>
      <c r="L183" s="30"/>
      <c r="M183" s="18"/>
      <c r="N183" s="178"/>
      <c r="O183" s="178"/>
    </row>
    <row r="184" spans="4:15">
      <c r="D184" s="18">
        <f t="shared" si="2"/>
        <v>22</v>
      </c>
      <c r="E184" s="18" t="s">
        <v>71</v>
      </c>
      <c r="F184" s="181">
        <v>63</v>
      </c>
      <c r="G184" s="181" t="s">
        <v>168</v>
      </c>
      <c r="H184" s="181" t="s">
        <v>167</v>
      </c>
      <c r="I184" s="181">
        <v>18.399999999999999</v>
      </c>
      <c r="J184" s="181"/>
      <c r="K184" s="18"/>
      <c r="L184" s="30"/>
      <c r="M184" s="18"/>
      <c r="N184" s="178"/>
      <c r="O184" s="178"/>
    </row>
    <row r="185" spans="4:15">
      <c r="D185" s="18">
        <f t="shared" si="2"/>
        <v>23</v>
      </c>
      <c r="E185" s="18" t="s">
        <v>71</v>
      </c>
      <c r="F185" s="181">
        <v>63</v>
      </c>
      <c r="G185" s="181" t="s">
        <v>167</v>
      </c>
      <c r="H185" s="181" t="s">
        <v>310</v>
      </c>
      <c r="I185" s="181">
        <f>231.3+4</f>
        <v>235.3</v>
      </c>
      <c r="J185" s="181"/>
      <c r="K185" s="18"/>
      <c r="L185" s="30"/>
      <c r="M185" s="18"/>
      <c r="N185" s="178"/>
      <c r="O185" s="178"/>
    </row>
    <row r="186" spans="4:15">
      <c r="D186" s="18">
        <f t="shared" si="2"/>
        <v>24</v>
      </c>
      <c r="E186" s="18" t="s">
        <v>71</v>
      </c>
      <c r="F186" s="181">
        <v>63</v>
      </c>
      <c r="G186" s="181" t="s">
        <v>168</v>
      </c>
      <c r="H186" s="181" t="s">
        <v>229</v>
      </c>
      <c r="I186" s="181">
        <v>93.5</v>
      </c>
      <c r="J186" s="181"/>
      <c r="K186" s="18"/>
      <c r="L186" s="30"/>
      <c r="M186" s="18"/>
      <c r="N186" s="178"/>
      <c r="O186" s="178"/>
    </row>
    <row r="187" spans="4:15">
      <c r="D187" s="18">
        <f t="shared" si="2"/>
        <v>25</v>
      </c>
      <c r="E187" s="18" t="s">
        <v>71</v>
      </c>
      <c r="F187" s="181">
        <v>63</v>
      </c>
      <c r="G187" s="181" t="s">
        <v>229</v>
      </c>
      <c r="H187" s="181" t="s">
        <v>206</v>
      </c>
      <c r="I187" s="181">
        <v>228.7</v>
      </c>
      <c r="J187" s="181"/>
      <c r="K187" s="18"/>
      <c r="L187" s="30"/>
      <c r="M187" s="18"/>
      <c r="N187" s="178"/>
      <c r="O187" s="178"/>
    </row>
    <row r="188" spans="4:15">
      <c r="D188" s="18">
        <f t="shared" si="2"/>
        <v>26</v>
      </c>
      <c r="E188" s="18" t="s">
        <v>71</v>
      </c>
      <c r="F188" s="181">
        <v>63</v>
      </c>
      <c r="G188" s="181" t="s">
        <v>229</v>
      </c>
      <c r="H188" s="181" t="s">
        <v>1267</v>
      </c>
      <c r="I188" s="181">
        <v>110.4</v>
      </c>
      <c r="J188" s="181"/>
      <c r="K188" s="18"/>
      <c r="L188" s="30"/>
      <c r="M188" s="18"/>
      <c r="N188" s="178"/>
      <c r="O188" s="178"/>
    </row>
    <row r="189" spans="4:15">
      <c r="D189" s="18">
        <f t="shared" si="2"/>
        <v>27</v>
      </c>
      <c r="E189" s="18" t="s">
        <v>71</v>
      </c>
      <c r="F189" s="181">
        <v>63</v>
      </c>
      <c r="G189" s="181" t="s">
        <v>229</v>
      </c>
      <c r="H189" s="181" t="s">
        <v>1267</v>
      </c>
      <c r="I189" s="181">
        <v>129.19999999999999</v>
      </c>
      <c r="J189" s="181"/>
      <c r="K189" s="18"/>
      <c r="L189" s="30"/>
      <c r="M189" s="18"/>
      <c r="N189" s="178"/>
      <c r="O189" s="178"/>
    </row>
    <row r="190" spans="4:15">
      <c r="D190" s="18">
        <f t="shared" si="2"/>
        <v>28</v>
      </c>
      <c r="E190" s="18" t="s">
        <v>71</v>
      </c>
      <c r="F190" s="181">
        <v>63</v>
      </c>
      <c r="G190" s="181" t="s">
        <v>1267</v>
      </c>
      <c r="H190" s="181" t="s">
        <v>1268</v>
      </c>
      <c r="I190" s="181">
        <v>35.700000000000003</v>
      </c>
      <c r="J190" s="181"/>
      <c r="K190" s="18"/>
      <c r="L190" s="30"/>
      <c r="M190" s="18"/>
      <c r="N190" s="178"/>
      <c r="O190" s="178"/>
    </row>
    <row r="191" spans="4:15">
      <c r="D191" s="18">
        <f t="shared" si="2"/>
        <v>29</v>
      </c>
      <c r="E191" s="18" t="s">
        <v>71</v>
      </c>
      <c r="F191" s="181">
        <v>63</v>
      </c>
      <c r="G191" s="181" t="s">
        <v>1267</v>
      </c>
      <c r="H191" s="181" t="s">
        <v>1268</v>
      </c>
      <c r="I191" s="181">
        <v>49.4</v>
      </c>
      <c r="J191" s="181"/>
      <c r="K191" s="18"/>
      <c r="L191" s="30"/>
      <c r="M191" s="18"/>
      <c r="N191" s="178"/>
      <c r="O191" s="178"/>
    </row>
    <row r="192" spans="4:15">
      <c r="D192" s="18">
        <f t="shared" si="2"/>
        <v>30</v>
      </c>
      <c r="E192" s="18" t="s">
        <v>71</v>
      </c>
      <c r="F192" s="181">
        <v>63</v>
      </c>
      <c r="G192" s="181" t="s">
        <v>1267</v>
      </c>
      <c r="H192" s="181" t="s">
        <v>167</v>
      </c>
      <c r="I192" s="181">
        <v>92.5</v>
      </c>
      <c r="J192" s="181"/>
      <c r="K192" s="18"/>
      <c r="L192" s="30"/>
      <c r="M192" s="18"/>
      <c r="N192" s="178"/>
      <c r="O192" s="178"/>
    </row>
    <row r="193" spans="4:15">
      <c r="D193" s="18">
        <f t="shared" si="2"/>
        <v>31</v>
      </c>
      <c r="E193" s="18" t="s">
        <v>71</v>
      </c>
      <c r="F193" s="181">
        <v>63</v>
      </c>
      <c r="G193" s="181" t="s">
        <v>167</v>
      </c>
      <c r="H193" s="181" t="s">
        <v>148</v>
      </c>
      <c r="I193" s="181">
        <v>263.10000000000002</v>
      </c>
      <c r="J193" s="181"/>
      <c r="K193" s="18"/>
      <c r="L193" s="30"/>
      <c r="M193" s="18"/>
      <c r="N193" s="178"/>
      <c r="O193" s="178"/>
    </row>
    <row r="194" spans="4:15">
      <c r="D194" s="18">
        <f t="shared" si="2"/>
        <v>32</v>
      </c>
      <c r="E194" s="18" t="s">
        <v>71</v>
      </c>
      <c r="F194" s="181">
        <v>63</v>
      </c>
      <c r="G194" s="181" t="s">
        <v>1267</v>
      </c>
      <c r="H194" s="181" t="s">
        <v>230</v>
      </c>
      <c r="I194" s="181">
        <v>18</v>
      </c>
      <c r="J194" s="181"/>
      <c r="K194" s="18"/>
      <c r="L194" s="30"/>
      <c r="M194" s="18"/>
      <c r="N194" s="178"/>
      <c r="O194" s="178"/>
    </row>
    <row r="195" spans="4:15">
      <c r="D195" s="18">
        <f t="shared" si="2"/>
        <v>33</v>
      </c>
      <c r="E195" s="18" t="s">
        <v>71</v>
      </c>
      <c r="F195" s="181">
        <v>63</v>
      </c>
      <c r="G195" s="181" t="s">
        <v>230</v>
      </c>
      <c r="H195" s="181" t="s">
        <v>221</v>
      </c>
      <c r="I195" s="181">
        <v>15.5</v>
      </c>
      <c r="J195" s="181"/>
      <c r="K195" s="18"/>
      <c r="L195" s="30"/>
      <c r="M195" s="18"/>
      <c r="N195" s="178"/>
      <c r="O195" s="178"/>
    </row>
    <row r="196" spans="4:15">
      <c r="D196" s="18">
        <f t="shared" si="2"/>
        <v>34</v>
      </c>
      <c r="E196" s="18" t="s">
        <v>71</v>
      </c>
      <c r="F196" s="181">
        <v>63</v>
      </c>
      <c r="G196" s="181" t="s">
        <v>221</v>
      </c>
      <c r="H196" s="181" t="s">
        <v>224</v>
      </c>
      <c r="I196" s="181">
        <v>13.6</v>
      </c>
      <c r="J196" s="181"/>
      <c r="K196" s="18"/>
      <c r="L196" s="30"/>
      <c r="M196" s="18"/>
      <c r="N196" s="178"/>
      <c r="O196" s="178"/>
    </row>
    <row r="197" spans="4:15">
      <c r="D197" s="18">
        <f t="shared" si="2"/>
        <v>35</v>
      </c>
      <c r="E197" s="18" t="s">
        <v>71</v>
      </c>
      <c r="F197" s="181">
        <v>63</v>
      </c>
      <c r="G197" s="181" t="s">
        <v>221</v>
      </c>
      <c r="H197" s="181" t="s">
        <v>224</v>
      </c>
      <c r="I197" s="181">
        <v>11.6</v>
      </c>
      <c r="J197" s="181"/>
      <c r="K197" s="18"/>
      <c r="L197" s="30"/>
      <c r="M197" s="18"/>
      <c r="N197" s="178"/>
      <c r="O197" s="178"/>
    </row>
    <row r="198" spans="4:15">
      <c r="D198" s="18">
        <f t="shared" si="2"/>
        <v>36</v>
      </c>
      <c r="E198" s="18" t="s">
        <v>71</v>
      </c>
      <c r="F198" s="181">
        <v>63</v>
      </c>
      <c r="G198" s="181" t="s">
        <v>221</v>
      </c>
      <c r="H198" s="181" t="s">
        <v>198</v>
      </c>
      <c r="I198" s="181">
        <v>46.4</v>
      </c>
      <c r="J198" s="181"/>
      <c r="K198" s="18"/>
      <c r="L198" s="30"/>
      <c r="M198" s="18"/>
      <c r="N198" s="178"/>
      <c r="O198" s="178"/>
    </row>
    <row r="199" spans="4:15">
      <c r="D199" s="18">
        <f t="shared" si="2"/>
        <v>37</v>
      </c>
      <c r="E199" s="18" t="s">
        <v>71</v>
      </c>
      <c r="F199" s="181">
        <v>63</v>
      </c>
      <c r="G199" s="181" t="s">
        <v>198</v>
      </c>
      <c r="H199" s="181" t="s">
        <v>774</v>
      </c>
      <c r="I199" s="181">
        <v>26.9</v>
      </c>
      <c r="J199" s="181"/>
      <c r="K199" s="18"/>
      <c r="L199" s="30"/>
      <c r="M199" s="18"/>
      <c r="N199" s="178"/>
      <c r="O199" s="178"/>
    </row>
    <row r="200" spans="4:15">
      <c r="D200" s="18">
        <f t="shared" si="2"/>
        <v>38</v>
      </c>
      <c r="E200" s="18" t="s">
        <v>71</v>
      </c>
      <c r="F200" s="181">
        <v>63</v>
      </c>
      <c r="G200" s="181" t="s">
        <v>198</v>
      </c>
      <c r="H200" s="181" t="s">
        <v>774</v>
      </c>
      <c r="I200" s="181">
        <v>21.4</v>
      </c>
      <c r="J200" s="181"/>
      <c r="K200" s="18"/>
      <c r="L200" s="30"/>
      <c r="M200" s="18"/>
      <c r="N200" s="178"/>
      <c r="O200" s="178"/>
    </row>
    <row r="201" spans="4:15">
      <c r="D201" s="18">
        <f t="shared" si="2"/>
        <v>39</v>
      </c>
      <c r="E201" s="18" t="s">
        <v>71</v>
      </c>
      <c r="F201" s="181">
        <v>63</v>
      </c>
      <c r="G201" s="181" t="s">
        <v>198</v>
      </c>
      <c r="H201" s="181" t="s">
        <v>246</v>
      </c>
      <c r="I201" s="181">
        <v>39.700000000000003</v>
      </c>
      <c r="J201" s="181"/>
      <c r="K201" s="18"/>
      <c r="L201" s="30"/>
      <c r="M201" s="18"/>
      <c r="N201" s="178"/>
      <c r="O201" s="178"/>
    </row>
    <row r="202" spans="4:15">
      <c r="D202" s="18">
        <f t="shared" si="2"/>
        <v>40</v>
      </c>
      <c r="E202" s="18" t="s">
        <v>71</v>
      </c>
      <c r="F202" s="181">
        <v>63</v>
      </c>
      <c r="G202" s="181" t="s">
        <v>198</v>
      </c>
      <c r="H202" s="181" t="s">
        <v>246</v>
      </c>
      <c r="I202" s="181">
        <v>58.2</v>
      </c>
      <c r="J202" s="181"/>
      <c r="K202" s="18"/>
      <c r="L202" s="30"/>
      <c r="M202" s="18"/>
      <c r="N202" s="178"/>
      <c r="O202" s="178"/>
    </row>
    <row r="203" spans="4:15">
      <c r="D203" s="18">
        <f t="shared" si="2"/>
        <v>41</v>
      </c>
      <c r="E203" s="18" t="s">
        <v>71</v>
      </c>
      <c r="F203" s="181">
        <v>63</v>
      </c>
      <c r="G203" s="181" t="s">
        <v>230</v>
      </c>
      <c r="H203" s="181" t="s">
        <v>695</v>
      </c>
      <c r="I203" s="181">
        <v>42.4</v>
      </c>
      <c r="J203" s="181"/>
      <c r="K203" s="18"/>
      <c r="L203" s="30"/>
      <c r="M203" s="18"/>
      <c r="N203" s="178"/>
      <c r="O203" s="178"/>
    </row>
    <row r="204" spans="4:15">
      <c r="D204" s="18">
        <f t="shared" si="2"/>
        <v>42</v>
      </c>
      <c r="E204" s="18" t="s">
        <v>71</v>
      </c>
      <c r="F204" s="181">
        <v>63</v>
      </c>
      <c r="G204" s="181" t="s">
        <v>695</v>
      </c>
      <c r="H204" s="181" t="s">
        <v>142</v>
      </c>
      <c r="I204" s="181">
        <v>53.7</v>
      </c>
      <c r="J204" s="181"/>
      <c r="K204" s="18"/>
      <c r="L204" s="30"/>
      <c r="M204" s="18"/>
      <c r="N204" s="178"/>
      <c r="O204" s="178"/>
    </row>
    <row r="205" spans="4:15">
      <c r="D205" s="18">
        <f t="shared" si="2"/>
        <v>43</v>
      </c>
      <c r="E205" s="18" t="s">
        <v>71</v>
      </c>
      <c r="F205" s="181">
        <v>63</v>
      </c>
      <c r="G205" s="181" t="s">
        <v>142</v>
      </c>
      <c r="H205" s="181" t="s">
        <v>319</v>
      </c>
      <c r="I205" s="181">
        <v>47.6</v>
      </c>
      <c r="J205" s="181"/>
      <c r="K205" s="18"/>
      <c r="L205" s="30"/>
      <c r="M205" s="18"/>
      <c r="N205" s="178"/>
      <c r="O205" s="178"/>
    </row>
    <row r="206" spans="4:15">
      <c r="D206" s="18">
        <f t="shared" si="2"/>
        <v>44</v>
      </c>
      <c r="E206" s="18" t="s">
        <v>71</v>
      </c>
      <c r="F206" s="181">
        <v>63</v>
      </c>
      <c r="G206" s="181" t="s">
        <v>142</v>
      </c>
      <c r="H206" s="181" t="s">
        <v>135</v>
      </c>
      <c r="I206" s="181">
        <v>118.5</v>
      </c>
      <c r="J206" s="181"/>
      <c r="K206" s="18"/>
      <c r="L206" s="30"/>
      <c r="M206" s="18"/>
      <c r="N206" s="178"/>
      <c r="O206" s="178"/>
    </row>
    <row r="207" spans="4:15">
      <c r="D207" s="18">
        <f t="shared" si="2"/>
        <v>45</v>
      </c>
      <c r="E207" s="18" t="s">
        <v>71</v>
      </c>
      <c r="F207" s="181">
        <v>63</v>
      </c>
      <c r="G207" s="181" t="s">
        <v>135</v>
      </c>
      <c r="H207" s="181" t="s">
        <v>231</v>
      </c>
      <c r="I207" s="181">
        <v>127.6</v>
      </c>
      <c r="J207" s="181"/>
      <c r="K207" s="18"/>
      <c r="L207" s="30"/>
      <c r="M207" s="18"/>
      <c r="N207" s="178"/>
      <c r="O207" s="178"/>
    </row>
    <row r="208" spans="4:15">
      <c r="D208" s="18">
        <f t="shared" si="2"/>
        <v>46</v>
      </c>
      <c r="E208" s="18" t="s">
        <v>71</v>
      </c>
      <c r="F208" s="181">
        <v>63</v>
      </c>
      <c r="G208" s="181" t="s">
        <v>135</v>
      </c>
      <c r="H208" s="181" t="s">
        <v>785</v>
      </c>
      <c r="I208" s="181">
        <v>286</v>
      </c>
      <c r="J208" s="181"/>
      <c r="K208" s="18"/>
      <c r="L208" s="30"/>
      <c r="M208" s="18"/>
      <c r="N208" s="178"/>
      <c r="O208" s="178"/>
    </row>
    <row r="209" spans="4:15" ht="15.75">
      <c r="D209" s="18"/>
      <c r="E209" s="18"/>
      <c r="F209" s="173"/>
      <c r="G209" s="173"/>
      <c r="H209" s="173"/>
      <c r="I209" s="173"/>
      <c r="J209" s="181"/>
      <c r="K209" s="18"/>
      <c r="L209" s="30"/>
      <c r="M209" s="18"/>
      <c r="N209" s="178"/>
      <c r="O209" s="178"/>
    </row>
    <row r="210" spans="4:15" ht="15.75">
      <c r="D210" s="18"/>
      <c r="E210" s="18"/>
      <c r="F210" s="173"/>
      <c r="G210" s="173"/>
      <c r="H210" s="173"/>
      <c r="I210" s="173"/>
      <c r="J210" s="181"/>
      <c r="K210" s="18"/>
      <c r="L210" s="30"/>
      <c r="M210" s="18"/>
      <c r="N210" s="178"/>
      <c r="O210" s="178"/>
    </row>
    <row r="211" spans="4:15" ht="15.75">
      <c r="D211" s="18"/>
      <c r="E211" s="18"/>
      <c r="F211" s="173"/>
      <c r="G211" s="173"/>
      <c r="H211" s="173"/>
      <c r="I211" s="173"/>
      <c r="J211" s="181"/>
      <c r="K211" s="18"/>
      <c r="L211" s="30"/>
      <c r="M211" s="18"/>
      <c r="N211" s="178"/>
      <c r="O211" s="178"/>
    </row>
    <row r="212" spans="4:15" ht="15.75">
      <c r="D212" s="18"/>
      <c r="E212" s="18"/>
      <c r="F212" s="173"/>
      <c r="G212" s="173"/>
      <c r="H212" s="173"/>
      <c r="I212" s="173"/>
      <c r="J212" s="181"/>
      <c r="K212" s="18"/>
      <c r="L212" s="30"/>
      <c r="M212" s="18"/>
      <c r="N212" s="178"/>
      <c r="O212" s="178"/>
    </row>
    <row r="213" spans="4:15" ht="15.75">
      <c r="D213" s="18"/>
      <c r="E213" s="18"/>
      <c r="F213" s="173"/>
      <c r="G213" s="173"/>
      <c r="H213" s="173"/>
      <c r="I213" s="173"/>
      <c r="J213" s="181"/>
      <c r="K213" s="18"/>
      <c r="L213" s="30"/>
      <c r="M213" s="18"/>
      <c r="N213" s="178"/>
      <c r="O213" s="178"/>
    </row>
    <row r="214" spans="4:15" ht="15.75">
      <c r="D214" s="18"/>
      <c r="E214" s="18"/>
      <c r="F214" s="173"/>
      <c r="G214" s="173"/>
      <c r="H214" s="173"/>
      <c r="I214" s="173"/>
      <c r="J214" s="181"/>
      <c r="K214" s="18"/>
      <c r="L214" s="30"/>
      <c r="M214" s="18"/>
      <c r="N214" s="178"/>
      <c r="O214" s="178"/>
    </row>
    <row r="215" spans="4:15" ht="15.75">
      <c r="D215" s="18"/>
      <c r="E215" s="18"/>
      <c r="F215" s="173"/>
      <c r="G215" s="173"/>
      <c r="H215" s="173"/>
      <c r="I215" s="173"/>
      <c r="J215" s="181"/>
      <c r="K215" s="18"/>
      <c r="L215" s="30"/>
      <c r="M215" s="18"/>
      <c r="N215" s="178"/>
      <c r="O215" s="178"/>
    </row>
    <row r="216" spans="4:15" ht="15.75">
      <c r="D216" s="18"/>
      <c r="E216" s="18"/>
      <c r="F216" s="173"/>
      <c r="G216" s="173"/>
      <c r="H216" s="173"/>
      <c r="I216" s="173"/>
      <c r="J216" s="181"/>
      <c r="K216" s="18"/>
      <c r="L216" s="30"/>
      <c r="M216" s="18"/>
      <c r="N216" s="178"/>
      <c r="O216" s="178"/>
    </row>
    <row r="217" spans="4:15" ht="15.75">
      <c r="D217" s="18"/>
      <c r="E217" s="18"/>
      <c r="F217" s="173"/>
      <c r="G217" s="173"/>
      <c r="H217" s="173"/>
      <c r="I217" s="173"/>
      <c r="J217" s="181"/>
      <c r="K217" s="18"/>
      <c r="L217" s="30"/>
      <c r="M217" s="18"/>
      <c r="N217" s="178"/>
      <c r="O217" s="178"/>
    </row>
    <row r="218" spans="4:15" ht="15.75">
      <c r="D218" s="18"/>
      <c r="E218" s="18"/>
      <c r="F218" s="173"/>
      <c r="G218" s="173"/>
      <c r="H218" s="173"/>
      <c r="I218" s="173"/>
      <c r="J218" s="181"/>
      <c r="K218" s="18"/>
      <c r="L218" s="30"/>
      <c r="M218" s="18"/>
      <c r="N218" s="178"/>
      <c r="O218" s="178"/>
    </row>
    <row r="219" spans="4:15" ht="15.75">
      <c r="D219" s="18"/>
      <c r="E219" s="18"/>
      <c r="F219" s="173"/>
      <c r="G219" s="173"/>
      <c r="H219" s="173"/>
      <c r="I219" s="173"/>
      <c r="J219" s="181"/>
      <c r="K219" s="18"/>
      <c r="L219" s="30"/>
      <c r="M219" s="18"/>
      <c r="N219" s="178"/>
      <c r="O219" s="178"/>
    </row>
    <row r="220" spans="4:15" ht="15.75">
      <c r="D220" s="18"/>
      <c r="E220" s="18"/>
      <c r="F220" s="173"/>
      <c r="G220" s="173"/>
      <c r="H220" s="173"/>
      <c r="I220" s="173"/>
      <c r="J220" s="181"/>
      <c r="K220" s="18"/>
      <c r="L220" s="30"/>
      <c r="M220" s="18"/>
      <c r="N220" s="178"/>
      <c r="O220" s="178"/>
    </row>
    <row r="221" spans="4:15" ht="15.75">
      <c r="D221" s="18"/>
      <c r="E221" s="18"/>
      <c r="F221" s="173"/>
      <c r="G221" s="173"/>
      <c r="H221" s="173"/>
      <c r="I221" s="173"/>
      <c r="J221" s="181"/>
      <c r="K221" s="18"/>
      <c r="L221" s="30"/>
      <c r="M221" s="18"/>
      <c r="N221" s="178"/>
      <c r="O221" s="178"/>
    </row>
    <row r="222" spans="4:15" ht="15.75">
      <c r="D222" s="18"/>
      <c r="E222" s="18"/>
      <c r="F222" s="173"/>
      <c r="G222" s="173"/>
      <c r="H222" s="173"/>
      <c r="I222" s="173"/>
      <c r="J222" s="181"/>
      <c r="K222" s="18"/>
      <c r="L222" s="30"/>
      <c r="M222" s="18"/>
      <c r="N222" s="178"/>
      <c r="O222" s="178"/>
    </row>
    <row r="223" spans="4:15" ht="15.75">
      <c r="D223" s="18"/>
      <c r="E223" s="18"/>
      <c r="F223" s="173"/>
      <c r="G223" s="173"/>
      <c r="H223" s="173"/>
      <c r="I223" s="173"/>
      <c r="J223" s="181"/>
      <c r="K223" s="18"/>
      <c r="L223" s="30"/>
      <c r="M223" s="18"/>
      <c r="N223" s="178"/>
      <c r="O223" s="178"/>
    </row>
    <row r="224" spans="4:15" ht="15.75">
      <c r="D224" s="18"/>
      <c r="E224" s="18"/>
      <c r="F224" s="173"/>
      <c r="G224" s="173"/>
      <c r="H224" s="173"/>
      <c r="I224" s="173"/>
      <c r="J224" s="181"/>
      <c r="K224" s="18"/>
      <c r="L224" s="30"/>
      <c r="M224" s="18"/>
      <c r="N224" s="178"/>
      <c r="O224" s="178"/>
    </row>
    <row r="225" spans="4:15" ht="15.75">
      <c r="D225" s="18"/>
      <c r="E225" s="18"/>
      <c r="F225" s="173"/>
      <c r="G225" s="173"/>
      <c r="H225" s="173"/>
      <c r="I225" s="173"/>
      <c r="J225" s="181"/>
      <c r="K225" s="18"/>
      <c r="L225" s="30"/>
      <c r="M225" s="18"/>
      <c r="N225" s="178"/>
      <c r="O225" s="178"/>
    </row>
    <row r="226" spans="4:15" ht="15.75">
      <c r="D226" s="18"/>
      <c r="E226" s="18"/>
      <c r="F226" s="173"/>
      <c r="G226" s="173"/>
      <c r="H226" s="173"/>
      <c r="I226" s="173"/>
      <c r="J226" s="181"/>
      <c r="K226" s="18"/>
      <c r="L226" s="30"/>
      <c r="M226" s="18"/>
      <c r="N226" s="178"/>
      <c r="O226" s="178"/>
    </row>
    <row r="227" spans="4:15" ht="15.75">
      <c r="D227" s="18"/>
      <c r="E227" s="18"/>
      <c r="F227" s="173"/>
      <c r="G227" s="173"/>
      <c r="H227" s="173"/>
      <c r="I227" s="173"/>
      <c r="J227" s="181"/>
      <c r="K227" s="18"/>
      <c r="L227" s="30"/>
      <c r="M227" s="18"/>
      <c r="N227" s="178"/>
      <c r="O227" s="178"/>
    </row>
    <row r="228" spans="4:15" ht="15.75">
      <c r="D228" s="18"/>
      <c r="E228" s="18"/>
      <c r="F228" s="173"/>
      <c r="G228" s="173"/>
      <c r="H228" s="173"/>
      <c r="I228" s="173"/>
      <c r="J228" s="181"/>
      <c r="K228" s="18"/>
      <c r="L228" s="30"/>
      <c r="M228" s="18"/>
      <c r="N228" s="178"/>
      <c r="O228" s="178"/>
    </row>
    <row r="229" spans="4:15" ht="15.75">
      <c r="D229" s="18"/>
      <c r="E229" s="18"/>
      <c r="F229" s="173"/>
      <c r="G229" s="173"/>
      <c r="H229" s="173"/>
      <c r="I229" s="173"/>
      <c r="J229" s="181"/>
      <c r="K229" s="18"/>
      <c r="L229" s="30"/>
      <c r="M229" s="18"/>
      <c r="N229" s="178"/>
      <c r="O229" s="178"/>
    </row>
    <row r="230" spans="4:15" ht="15.75">
      <c r="D230" s="18"/>
      <c r="E230" s="18"/>
      <c r="F230" s="173"/>
      <c r="G230" s="173"/>
      <c r="H230" s="173"/>
      <c r="I230" s="173"/>
      <c r="J230" s="181"/>
      <c r="K230" s="18"/>
      <c r="L230" s="30"/>
      <c r="M230" s="18"/>
      <c r="N230" s="178"/>
      <c r="O230" s="178"/>
    </row>
    <row r="231" spans="4:15" ht="15.75">
      <c r="D231" s="18"/>
      <c r="E231" s="18"/>
      <c r="F231" s="173"/>
      <c r="G231" s="173"/>
      <c r="H231" s="173"/>
      <c r="I231" s="173"/>
      <c r="J231" s="181"/>
      <c r="K231" s="18"/>
      <c r="L231" s="30"/>
      <c r="M231" s="18"/>
      <c r="N231" s="178"/>
      <c r="O231" s="178"/>
    </row>
    <row r="232" spans="4:15" ht="15.75">
      <c r="D232" s="18"/>
      <c r="E232" s="18"/>
      <c r="F232" s="173"/>
      <c r="G232" s="173"/>
      <c r="H232" s="173"/>
      <c r="I232" s="173"/>
      <c r="J232" s="181"/>
      <c r="K232" s="18"/>
      <c r="L232" s="30"/>
      <c r="M232" s="18"/>
      <c r="N232" s="178"/>
      <c r="O232" s="178"/>
    </row>
    <row r="233" spans="4:15">
      <c r="D233" s="374"/>
      <c r="E233" s="374"/>
      <c r="F233" s="374"/>
      <c r="G233" s="374"/>
      <c r="H233" s="374"/>
      <c r="I233" s="374"/>
      <c r="J233" s="374"/>
      <c r="K233" s="374"/>
      <c r="L233" s="374"/>
      <c r="M233" s="374"/>
      <c r="N233" s="374"/>
      <c r="O233" s="374"/>
    </row>
    <row r="234" spans="4:15">
      <c r="D234" s="324"/>
      <c r="E234" s="324"/>
      <c r="F234" s="325" t="s">
        <v>86</v>
      </c>
      <c r="G234" s="325"/>
      <c r="H234" s="325"/>
      <c r="I234" s="325"/>
      <c r="J234" s="325" t="s">
        <v>87</v>
      </c>
      <c r="K234" s="325"/>
      <c r="L234" s="325"/>
      <c r="M234" s="325" t="s">
        <v>39</v>
      </c>
      <c r="N234" s="325"/>
      <c r="O234" s="325"/>
    </row>
    <row r="235" spans="4:15">
      <c r="D235" s="295" t="s">
        <v>40</v>
      </c>
      <c r="E235" s="295"/>
      <c r="F235" s="317"/>
      <c r="G235" s="317"/>
      <c r="H235" s="317"/>
      <c r="I235" s="317"/>
      <c r="J235" s="317"/>
      <c r="K235" s="317"/>
      <c r="L235" s="317"/>
      <c r="M235" s="317"/>
      <c r="N235" s="317"/>
      <c r="O235" s="317"/>
    </row>
    <row r="236" spans="4:15">
      <c r="D236" s="295" t="s">
        <v>41</v>
      </c>
      <c r="E236" s="295"/>
      <c r="F236" s="317"/>
      <c r="G236" s="317"/>
      <c r="H236" s="317"/>
      <c r="I236" s="317"/>
      <c r="J236" s="317"/>
      <c r="K236" s="317"/>
      <c r="L236" s="317"/>
      <c r="M236" s="317"/>
      <c r="N236" s="317"/>
      <c r="O236" s="317"/>
    </row>
    <row r="237" spans="4:15">
      <c r="D237" s="295" t="s">
        <v>42</v>
      </c>
      <c r="E237" s="295"/>
      <c r="F237" s="317"/>
      <c r="G237" s="317"/>
      <c r="H237" s="317"/>
      <c r="I237" s="317"/>
      <c r="J237" s="317"/>
      <c r="K237" s="317"/>
      <c r="L237" s="317"/>
      <c r="M237" s="317"/>
      <c r="N237" s="317"/>
      <c r="O237" s="317"/>
    </row>
    <row r="238" spans="4:15">
      <c r="D238" s="295" t="s">
        <v>43</v>
      </c>
      <c r="E238" s="295"/>
      <c r="F238" s="315"/>
      <c r="G238" s="316"/>
      <c r="H238" s="316"/>
      <c r="I238" s="316"/>
      <c r="J238" s="317"/>
      <c r="K238" s="317"/>
      <c r="L238" s="317"/>
      <c r="M238" s="317"/>
      <c r="N238" s="317"/>
      <c r="O238" s="317"/>
    </row>
    <row r="241" spans="4:15" ht="15.75" thickBot="1"/>
    <row r="242" spans="4:15">
      <c r="D242" s="206"/>
      <c r="E242" s="211" t="s">
        <v>44</v>
      </c>
      <c r="F242" s="212"/>
      <c r="G242" s="212"/>
      <c r="H242" s="212"/>
      <c r="I242" s="212"/>
      <c r="J242" s="212"/>
      <c r="K242" s="212"/>
      <c r="L242" s="212"/>
      <c r="M242" s="20"/>
      <c r="N242" s="20"/>
      <c r="O242" s="21"/>
    </row>
    <row r="243" spans="4:15">
      <c r="D243" s="207"/>
      <c r="E243" s="214"/>
      <c r="F243" s="215"/>
      <c r="G243" s="215"/>
      <c r="H243" s="215"/>
      <c r="I243" s="215"/>
      <c r="J243" s="215"/>
      <c r="K243" s="215"/>
      <c r="L243" s="215"/>
      <c r="O243" s="22"/>
    </row>
    <row r="244" spans="4:15">
      <c r="D244" s="207"/>
      <c r="E244" s="214"/>
      <c r="F244" s="215"/>
      <c r="G244" s="215"/>
      <c r="H244" s="215"/>
      <c r="I244" s="215"/>
      <c r="J244" s="215"/>
      <c r="K244" s="215"/>
      <c r="L244" s="215"/>
      <c r="O244" s="22"/>
    </row>
    <row r="245" spans="4:15">
      <c r="D245" s="207"/>
      <c r="E245" s="289"/>
      <c r="F245" s="290"/>
      <c r="G245" s="290"/>
      <c r="H245" s="290"/>
      <c r="I245" s="290"/>
      <c r="J245" s="290"/>
      <c r="K245" s="290"/>
      <c r="L245" s="290"/>
      <c r="O245" s="22"/>
    </row>
    <row r="246" spans="4:15" ht="16.5">
      <c r="D246" s="223" t="s">
        <v>45</v>
      </c>
      <c r="E246" s="224"/>
      <c r="F246" s="176" t="s">
        <v>46</v>
      </c>
      <c r="G246" s="177"/>
      <c r="H246" s="177"/>
      <c r="I246" s="177"/>
      <c r="J246" s="177"/>
      <c r="K246" s="177"/>
      <c r="L246" s="177"/>
      <c r="M246" s="177"/>
      <c r="N246" s="177"/>
      <c r="O246" s="23"/>
    </row>
    <row r="247" spans="4:15" ht="16.5">
      <c r="D247" s="223" t="s">
        <v>48</v>
      </c>
      <c r="E247" s="224"/>
      <c r="F247" s="176" t="s">
        <v>49</v>
      </c>
      <c r="G247" s="177"/>
      <c r="H247" s="177"/>
      <c r="I247" s="177"/>
      <c r="J247" s="177"/>
      <c r="K247" s="177"/>
      <c r="L247" s="177"/>
      <c r="M247" s="177"/>
      <c r="N247" s="177"/>
      <c r="O247" s="23"/>
    </row>
    <row r="248" spans="4:15" ht="16.5">
      <c r="D248" s="225" t="s">
        <v>50</v>
      </c>
      <c r="E248" s="226"/>
      <c r="F248" s="176" t="s">
        <v>51</v>
      </c>
      <c r="G248" s="177"/>
      <c r="H248" s="177"/>
      <c r="I248" s="177"/>
      <c r="J248" s="177"/>
      <c r="K248" s="177"/>
      <c r="L248" s="177"/>
      <c r="M248" s="177"/>
      <c r="N248" s="177"/>
      <c r="O248" s="23"/>
    </row>
    <row r="249" spans="4:15" ht="16.5">
      <c r="D249" s="223" t="s">
        <v>52</v>
      </c>
      <c r="E249" s="224"/>
      <c r="F249" s="176" t="s">
        <v>53</v>
      </c>
      <c r="G249" s="177"/>
      <c r="H249" s="177"/>
      <c r="I249" s="177"/>
      <c r="J249" s="177"/>
      <c r="K249" s="177"/>
      <c r="L249" s="177"/>
      <c r="M249" s="177"/>
      <c r="N249" s="177"/>
      <c r="O249" s="23"/>
    </row>
    <row r="250" spans="4:15" ht="15.75">
      <c r="D250" s="227" t="s">
        <v>1285</v>
      </c>
      <c r="E250" s="228"/>
      <c r="F250" s="228"/>
      <c r="G250" s="228"/>
      <c r="H250" s="228"/>
      <c r="I250" s="228"/>
      <c r="J250" s="228"/>
      <c r="K250" s="228"/>
      <c r="L250" s="228"/>
      <c r="M250" s="228"/>
      <c r="N250" s="228"/>
      <c r="O250" s="229"/>
    </row>
    <row r="251" spans="4:15" ht="15.75">
      <c r="D251" s="11" t="s">
        <v>55</v>
      </c>
      <c r="F251" s="12"/>
      <c r="G251" s="12"/>
      <c r="H251" s="12"/>
      <c r="I251" s="12"/>
      <c r="J251" s="24" t="s">
        <v>56</v>
      </c>
      <c r="K251" s="25"/>
      <c r="L251" s="12"/>
      <c r="M251" s="12"/>
      <c r="N251" s="12"/>
      <c r="O251" s="26"/>
    </row>
    <row r="252" spans="4:15">
      <c r="D252" s="217"/>
      <c r="E252" s="218"/>
      <c r="F252" s="218"/>
      <c r="G252" s="218"/>
      <c r="H252" s="218"/>
      <c r="I252" s="218"/>
      <c r="J252" s="218"/>
      <c r="K252" s="218"/>
      <c r="L252" s="218"/>
      <c r="M252" s="218"/>
      <c r="N252" s="218"/>
      <c r="O252" s="219"/>
    </row>
    <row r="253" spans="4:15" ht="15.75">
      <c r="D253" s="179" t="s">
        <v>103</v>
      </c>
      <c r="E253" s="355"/>
      <c r="F253" s="356"/>
      <c r="G253" s="356"/>
      <c r="H253" s="356"/>
      <c r="I253" s="357"/>
      <c r="J253" s="368" t="s">
        <v>542</v>
      </c>
      <c r="K253" s="369"/>
      <c r="L253" s="369"/>
      <c r="M253" s="369"/>
      <c r="N253" s="369"/>
      <c r="O253" s="370"/>
    </row>
    <row r="254" spans="4:15">
      <c r="D254" s="329" t="s">
        <v>59</v>
      </c>
      <c r="E254" s="209" t="s">
        <v>60</v>
      </c>
      <c r="F254" s="209" t="s">
        <v>659</v>
      </c>
      <c r="G254" s="209" t="s">
        <v>62</v>
      </c>
      <c r="H254" s="209" t="s">
        <v>63</v>
      </c>
      <c r="I254" s="209" t="s">
        <v>64</v>
      </c>
      <c r="J254" s="209" t="s">
        <v>65</v>
      </c>
      <c r="K254" s="342" t="s">
        <v>66</v>
      </c>
      <c r="L254" s="343"/>
      <c r="M254" s="344"/>
      <c r="N254" s="209" t="s">
        <v>30</v>
      </c>
      <c r="O254" s="328" t="s">
        <v>67</v>
      </c>
    </row>
    <row r="255" spans="4:15" ht="60">
      <c r="D255" s="359"/>
      <c r="E255" s="292"/>
      <c r="F255" s="292"/>
      <c r="G255" s="292"/>
      <c r="H255" s="292"/>
      <c r="I255" s="292"/>
      <c r="J255" s="292"/>
      <c r="K255" s="180" t="s">
        <v>68</v>
      </c>
      <c r="L255" s="28" t="s">
        <v>999</v>
      </c>
      <c r="M255" s="180" t="s">
        <v>70</v>
      </c>
      <c r="N255" s="292"/>
      <c r="O255" s="360"/>
    </row>
    <row r="256" spans="4:15">
      <c r="D256" s="18">
        <v>1</v>
      </c>
      <c r="E256" s="18" t="s">
        <v>71</v>
      </c>
      <c r="F256" s="181"/>
      <c r="G256" s="181"/>
      <c r="H256" s="181"/>
      <c r="I256" s="181"/>
      <c r="J256" s="181"/>
      <c r="K256" s="18"/>
      <c r="L256" s="30"/>
      <c r="M256" s="18"/>
      <c r="N256" s="178"/>
      <c r="O256" s="178"/>
    </row>
    <row r="257" spans="4:15">
      <c r="D257" s="18">
        <f>1+D256</f>
        <v>2</v>
      </c>
      <c r="E257" s="18" t="s">
        <v>71</v>
      </c>
      <c r="F257" s="181"/>
      <c r="G257" s="181"/>
      <c r="H257" s="181"/>
      <c r="I257" s="181"/>
      <c r="J257" s="181"/>
      <c r="K257" s="18"/>
      <c r="L257" s="30"/>
      <c r="M257" s="18"/>
      <c r="N257" s="178"/>
      <c r="O257" s="178"/>
    </row>
    <row r="258" spans="4:15">
      <c r="D258" s="18">
        <f t="shared" ref="D258:D301" si="3">1+D257</f>
        <v>3</v>
      </c>
      <c r="E258" s="18" t="s">
        <v>71</v>
      </c>
      <c r="F258" s="181"/>
      <c r="G258" s="181"/>
      <c r="H258" s="181"/>
      <c r="I258" s="181"/>
      <c r="J258" s="181"/>
      <c r="K258" s="18"/>
      <c r="L258" s="30"/>
      <c r="M258" s="18"/>
      <c r="N258" s="178"/>
      <c r="O258" s="178"/>
    </row>
    <row r="259" spans="4:15">
      <c r="D259" s="18">
        <f t="shared" si="3"/>
        <v>4</v>
      </c>
      <c r="E259" s="18" t="s">
        <v>71</v>
      </c>
      <c r="F259" s="181"/>
      <c r="G259" s="181"/>
      <c r="H259" s="181"/>
      <c r="I259" s="181"/>
      <c r="J259" s="181"/>
      <c r="K259" s="18"/>
      <c r="L259" s="30"/>
      <c r="M259" s="18"/>
      <c r="N259" s="178"/>
      <c r="O259" s="178"/>
    </row>
    <row r="260" spans="4:15">
      <c r="D260" s="18">
        <f t="shared" si="3"/>
        <v>5</v>
      </c>
      <c r="E260" s="18" t="s">
        <v>71</v>
      </c>
      <c r="F260" s="181"/>
      <c r="G260" s="181"/>
      <c r="H260" s="181"/>
      <c r="I260" s="181"/>
      <c r="J260" s="181"/>
      <c r="K260" s="18"/>
      <c r="L260" s="30"/>
      <c r="M260" s="18"/>
      <c r="N260" s="178"/>
      <c r="O260" s="178"/>
    </row>
    <row r="261" spans="4:15">
      <c r="D261" s="18">
        <f t="shared" si="3"/>
        <v>6</v>
      </c>
      <c r="E261" s="18" t="s">
        <v>71</v>
      </c>
      <c r="F261" s="181"/>
      <c r="G261" s="181"/>
      <c r="H261" s="181"/>
      <c r="I261" s="181"/>
      <c r="J261" s="181"/>
      <c r="K261" s="18"/>
      <c r="L261" s="30"/>
      <c r="M261" s="18"/>
      <c r="N261" s="178"/>
      <c r="O261" s="178"/>
    </row>
    <row r="262" spans="4:15">
      <c r="D262" s="18">
        <f t="shared" si="3"/>
        <v>7</v>
      </c>
      <c r="E262" s="18" t="s">
        <v>71</v>
      </c>
      <c r="F262" s="181"/>
      <c r="G262" s="181"/>
      <c r="H262" s="181"/>
      <c r="I262" s="181"/>
      <c r="J262" s="181"/>
      <c r="K262" s="18"/>
      <c r="L262" s="30"/>
      <c r="M262" s="18"/>
      <c r="N262" s="178"/>
      <c r="O262" s="178"/>
    </row>
    <row r="263" spans="4:15">
      <c r="D263" s="18">
        <f t="shared" si="3"/>
        <v>8</v>
      </c>
      <c r="E263" s="18" t="s">
        <v>71</v>
      </c>
      <c r="F263" s="181"/>
      <c r="G263" s="181"/>
      <c r="H263" s="181"/>
      <c r="I263" s="181"/>
      <c r="J263" s="181"/>
      <c r="K263" s="18"/>
      <c r="L263" s="30"/>
      <c r="M263" s="18"/>
      <c r="N263" s="178"/>
      <c r="O263" s="178"/>
    </row>
    <row r="264" spans="4:15">
      <c r="D264" s="18">
        <f t="shared" si="3"/>
        <v>9</v>
      </c>
      <c r="E264" s="18" t="s">
        <v>71</v>
      </c>
      <c r="F264" s="181"/>
      <c r="G264" s="181"/>
      <c r="H264" s="181"/>
      <c r="I264" s="181"/>
      <c r="J264" s="181"/>
      <c r="K264" s="18"/>
      <c r="L264" s="30"/>
      <c r="M264" s="18"/>
      <c r="N264" s="178"/>
      <c r="O264" s="178"/>
    </row>
    <row r="265" spans="4:15">
      <c r="D265" s="18">
        <f t="shared" si="3"/>
        <v>10</v>
      </c>
      <c r="E265" s="18" t="s">
        <v>71</v>
      </c>
      <c r="F265" s="181"/>
      <c r="G265" s="181"/>
      <c r="H265" s="181"/>
      <c r="I265" s="181"/>
      <c r="J265" s="181"/>
      <c r="K265" s="18"/>
      <c r="L265" s="30"/>
      <c r="M265" s="18"/>
      <c r="N265" s="178"/>
      <c r="O265" s="178"/>
    </row>
    <row r="266" spans="4:15">
      <c r="D266" s="18">
        <f t="shared" si="3"/>
        <v>11</v>
      </c>
      <c r="E266" s="18" t="s">
        <v>71</v>
      </c>
      <c r="F266" s="181"/>
      <c r="G266" s="181"/>
      <c r="H266" s="181"/>
      <c r="I266" s="181"/>
      <c r="J266" s="181"/>
      <c r="K266" s="18"/>
      <c r="L266" s="30"/>
      <c r="M266" s="18"/>
      <c r="N266" s="178"/>
      <c r="O266" s="178"/>
    </row>
    <row r="267" spans="4:15">
      <c r="D267" s="18">
        <f t="shared" si="3"/>
        <v>12</v>
      </c>
      <c r="E267" s="18" t="s">
        <v>71</v>
      </c>
      <c r="F267" s="181"/>
      <c r="G267" s="181"/>
      <c r="H267" s="181"/>
      <c r="I267" s="181"/>
      <c r="J267" s="181"/>
      <c r="K267" s="18"/>
      <c r="L267" s="30"/>
      <c r="M267" s="18"/>
      <c r="N267" s="178"/>
      <c r="O267" s="178"/>
    </row>
    <row r="268" spans="4:15">
      <c r="D268" s="18">
        <f t="shared" si="3"/>
        <v>13</v>
      </c>
      <c r="E268" s="18" t="s">
        <v>71</v>
      </c>
      <c r="F268" s="181"/>
      <c r="G268" s="181"/>
      <c r="H268" s="181"/>
      <c r="I268" s="181"/>
      <c r="J268" s="181"/>
      <c r="K268" s="18"/>
      <c r="L268" s="30"/>
      <c r="M268" s="18"/>
      <c r="N268" s="178"/>
      <c r="O268" s="178"/>
    </row>
    <row r="269" spans="4:15">
      <c r="D269" s="18">
        <f t="shared" si="3"/>
        <v>14</v>
      </c>
      <c r="E269" s="18" t="s">
        <v>71</v>
      </c>
      <c r="F269" s="181"/>
      <c r="G269" s="181"/>
      <c r="H269" s="181"/>
      <c r="I269" s="181"/>
      <c r="J269" s="181"/>
      <c r="K269" s="18"/>
      <c r="L269" s="30"/>
      <c r="M269" s="18"/>
      <c r="N269" s="178"/>
      <c r="O269" s="178"/>
    </row>
    <row r="270" spans="4:15">
      <c r="D270" s="18">
        <f t="shared" si="3"/>
        <v>15</v>
      </c>
      <c r="E270" s="18" t="s">
        <v>71</v>
      </c>
      <c r="F270" s="181"/>
      <c r="G270" s="181"/>
      <c r="H270" s="181"/>
      <c r="I270" s="181"/>
      <c r="J270" s="181"/>
      <c r="K270" s="18"/>
      <c r="L270" s="30"/>
      <c r="M270" s="18"/>
      <c r="N270" s="178"/>
      <c r="O270" s="178"/>
    </row>
    <row r="271" spans="4:15">
      <c r="D271" s="18">
        <f t="shared" si="3"/>
        <v>16</v>
      </c>
      <c r="E271" s="18" t="s">
        <v>71</v>
      </c>
      <c r="F271" s="181"/>
      <c r="G271" s="181"/>
      <c r="H271" s="181"/>
      <c r="I271" s="181"/>
      <c r="J271" s="181"/>
      <c r="K271" s="18"/>
      <c r="L271" s="30"/>
      <c r="M271" s="18"/>
      <c r="N271" s="178"/>
      <c r="O271" s="178"/>
    </row>
    <row r="272" spans="4:15">
      <c r="D272" s="18">
        <f t="shared" si="3"/>
        <v>17</v>
      </c>
      <c r="E272" s="18" t="s">
        <v>71</v>
      </c>
      <c r="F272" s="181"/>
      <c r="G272" s="181"/>
      <c r="H272" s="181"/>
      <c r="I272" s="181"/>
      <c r="J272" s="181"/>
      <c r="K272" s="18"/>
      <c r="L272" s="30"/>
      <c r="M272" s="18"/>
      <c r="N272" s="178"/>
      <c r="O272" s="178"/>
    </row>
    <row r="273" spans="4:15">
      <c r="D273" s="18">
        <f t="shared" si="3"/>
        <v>18</v>
      </c>
      <c r="E273" s="18" t="s">
        <v>71</v>
      </c>
      <c r="F273" s="181"/>
      <c r="G273" s="181"/>
      <c r="H273" s="181"/>
      <c r="I273" s="181"/>
      <c r="J273" s="181"/>
      <c r="K273" s="18"/>
      <c r="L273" s="30"/>
      <c r="M273" s="18"/>
      <c r="N273" s="178"/>
      <c r="O273" s="178"/>
    </row>
    <row r="274" spans="4:15">
      <c r="D274" s="18">
        <f t="shared" si="3"/>
        <v>19</v>
      </c>
      <c r="E274" s="18" t="s">
        <v>71</v>
      </c>
      <c r="F274" s="181"/>
      <c r="G274" s="181"/>
      <c r="H274" s="181"/>
      <c r="I274" s="181"/>
      <c r="J274" s="181"/>
      <c r="K274" s="18"/>
      <c r="L274" s="30"/>
      <c r="M274" s="18"/>
      <c r="N274" s="178"/>
      <c r="O274" s="178"/>
    </row>
    <row r="275" spans="4:15">
      <c r="D275" s="18">
        <f t="shared" si="3"/>
        <v>20</v>
      </c>
      <c r="E275" s="18" t="s">
        <v>71</v>
      </c>
      <c r="F275" s="181"/>
      <c r="G275" s="181"/>
      <c r="H275" s="181"/>
      <c r="I275" s="181"/>
      <c r="J275" s="181"/>
      <c r="K275" s="18"/>
      <c r="L275" s="30"/>
      <c r="M275" s="18"/>
      <c r="N275" s="178"/>
      <c r="O275" s="178"/>
    </row>
    <row r="276" spans="4:15">
      <c r="D276" s="18">
        <f t="shared" si="3"/>
        <v>21</v>
      </c>
      <c r="E276" s="18" t="s">
        <v>71</v>
      </c>
      <c r="F276" s="181"/>
      <c r="G276" s="181"/>
      <c r="H276" s="181"/>
      <c r="I276" s="181"/>
      <c r="J276" s="181"/>
      <c r="K276" s="18"/>
      <c r="L276" s="30"/>
      <c r="M276" s="18"/>
      <c r="N276" s="178"/>
      <c r="O276" s="178"/>
    </row>
    <row r="277" spans="4:15">
      <c r="D277" s="18">
        <f t="shared" si="3"/>
        <v>22</v>
      </c>
      <c r="E277" s="18" t="s">
        <v>71</v>
      </c>
      <c r="F277" s="181"/>
      <c r="G277" s="181"/>
      <c r="H277" s="181"/>
      <c r="I277" s="181"/>
      <c r="J277" s="181"/>
      <c r="K277" s="18"/>
      <c r="L277" s="30"/>
      <c r="M277" s="18"/>
      <c r="N277" s="178"/>
      <c r="O277" s="178"/>
    </row>
    <row r="278" spans="4:15">
      <c r="D278" s="18">
        <f t="shared" si="3"/>
        <v>23</v>
      </c>
      <c r="E278" s="18" t="s">
        <v>71</v>
      </c>
      <c r="F278" s="181"/>
      <c r="G278" s="181"/>
      <c r="H278" s="181"/>
      <c r="I278" s="181"/>
      <c r="J278" s="181"/>
      <c r="K278" s="18"/>
      <c r="L278" s="30"/>
      <c r="M278" s="18"/>
      <c r="N278" s="178"/>
      <c r="O278" s="178"/>
    </row>
    <row r="279" spans="4:15">
      <c r="D279" s="18">
        <f t="shared" si="3"/>
        <v>24</v>
      </c>
      <c r="E279" s="18" t="s">
        <v>71</v>
      </c>
      <c r="F279" s="181"/>
      <c r="G279" s="181"/>
      <c r="H279" s="181"/>
      <c r="I279" s="181"/>
      <c r="J279" s="181"/>
      <c r="K279" s="18"/>
      <c r="L279" s="30"/>
      <c r="M279" s="18"/>
      <c r="N279" s="178"/>
      <c r="O279" s="178"/>
    </row>
    <row r="280" spans="4:15">
      <c r="D280" s="18">
        <f t="shared" si="3"/>
        <v>25</v>
      </c>
      <c r="E280" s="18" t="s">
        <v>71</v>
      </c>
      <c r="F280" s="181"/>
      <c r="G280" s="181"/>
      <c r="H280" s="181"/>
      <c r="I280" s="181"/>
      <c r="J280" s="181"/>
      <c r="K280" s="18"/>
      <c r="L280" s="30"/>
      <c r="M280" s="18"/>
      <c r="N280" s="178"/>
      <c r="O280" s="178"/>
    </row>
    <row r="281" spans="4:15">
      <c r="D281" s="18">
        <f t="shared" si="3"/>
        <v>26</v>
      </c>
      <c r="E281" s="18" t="s">
        <v>71</v>
      </c>
      <c r="F281" s="181"/>
      <c r="G281" s="181"/>
      <c r="H281" s="181"/>
      <c r="I281" s="181"/>
      <c r="J281" s="181"/>
      <c r="K281" s="18"/>
      <c r="L281" s="30"/>
      <c r="M281" s="18"/>
      <c r="N281" s="178"/>
      <c r="O281" s="178"/>
    </row>
    <row r="282" spans="4:15">
      <c r="D282" s="18">
        <f t="shared" si="3"/>
        <v>27</v>
      </c>
      <c r="E282" s="18" t="s">
        <v>71</v>
      </c>
      <c r="F282" s="181"/>
      <c r="G282" s="181"/>
      <c r="H282" s="181"/>
      <c r="I282" s="181"/>
      <c r="J282" s="181"/>
      <c r="K282" s="18"/>
      <c r="L282" s="30"/>
      <c r="M282" s="18"/>
      <c r="N282" s="178"/>
      <c r="O282" s="178"/>
    </row>
    <row r="283" spans="4:15">
      <c r="D283" s="18">
        <f t="shared" si="3"/>
        <v>28</v>
      </c>
      <c r="E283" s="18" t="s">
        <v>71</v>
      </c>
      <c r="F283" s="181"/>
      <c r="G283" s="181"/>
      <c r="H283" s="181"/>
      <c r="I283" s="181"/>
      <c r="J283" s="181"/>
      <c r="K283" s="18"/>
      <c r="L283" s="30"/>
      <c r="M283" s="18"/>
      <c r="N283" s="178"/>
      <c r="O283" s="178"/>
    </row>
    <row r="284" spans="4:15">
      <c r="D284" s="18">
        <f t="shared" si="3"/>
        <v>29</v>
      </c>
      <c r="E284" s="18" t="s">
        <v>71</v>
      </c>
      <c r="F284" s="181"/>
      <c r="G284" s="181"/>
      <c r="H284" s="181"/>
      <c r="I284" s="181"/>
      <c r="J284" s="181"/>
      <c r="K284" s="18"/>
      <c r="L284" s="30"/>
      <c r="M284" s="18"/>
      <c r="N284" s="178"/>
      <c r="O284" s="178"/>
    </row>
    <row r="285" spans="4:15">
      <c r="D285" s="18">
        <f t="shared" si="3"/>
        <v>30</v>
      </c>
      <c r="E285" s="18" t="s">
        <v>71</v>
      </c>
      <c r="F285" s="181"/>
      <c r="G285" s="181"/>
      <c r="H285" s="181"/>
      <c r="I285" s="181"/>
      <c r="J285" s="181"/>
      <c r="K285" s="18"/>
      <c r="L285" s="30"/>
      <c r="M285" s="18"/>
      <c r="N285" s="178"/>
      <c r="O285" s="178"/>
    </row>
    <row r="286" spans="4:15">
      <c r="D286" s="18">
        <f t="shared" si="3"/>
        <v>31</v>
      </c>
      <c r="E286" s="18" t="s">
        <v>71</v>
      </c>
      <c r="F286" s="181"/>
      <c r="G286" s="181"/>
      <c r="H286" s="181"/>
      <c r="I286" s="181"/>
      <c r="J286" s="181"/>
      <c r="K286" s="18"/>
      <c r="L286" s="30"/>
      <c r="M286" s="18"/>
      <c r="N286" s="178"/>
      <c r="O286" s="178"/>
    </row>
    <row r="287" spans="4:15">
      <c r="D287" s="18">
        <f t="shared" si="3"/>
        <v>32</v>
      </c>
      <c r="E287" s="18" t="s">
        <v>71</v>
      </c>
      <c r="F287" s="181"/>
      <c r="G287" s="181"/>
      <c r="H287" s="181"/>
      <c r="I287" s="181"/>
      <c r="J287" s="181"/>
      <c r="K287" s="18"/>
      <c r="L287" s="30"/>
      <c r="M287" s="18"/>
      <c r="N287" s="178"/>
      <c r="O287" s="178"/>
    </row>
    <row r="288" spans="4:15">
      <c r="D288" s="18">
        <f t="shared" si="3"/>
        <v>33</v>
      </c>
      <c r="E288" s="18" t="s">
        <v>71</v>
      </c>
      <c r="F288" s="181"/>
      <c r="G288" s="181"/>
      <c r="H288" s="181"/>
      <c r="I288" s="181"/>
      <c r="J288" s="181"/>
      <c r="K288" s="18"/>
      <c r="L288" s="30"/>
      <c r="M288" s="18"/>
      <c r="N288" s="178"/>
      <c r="O288" s="178"/>
    </row>
    <row r="289" spans="4:15">
      <c r="D289" s="18">
        <f t="shared" si="3"/>
        <v>34</v>
      </c>
      <c r="E289" s="18" t="s">
        <v>71</v>
      </c>
      <c r="F289" s="181"/>
      <c r="G289" s="181"/>
      <c r="H289" s="181"/>
      <c r="I289" s="181"/>
      <c r="J289" s="181"/>
      <c r="K289" s="18"/>
      <c r="L289" s="30"/>
      <c r="M289" s="18"/>
      <c r="N289" s="178"/>
      <c r="O289" s="178"/>
    </row>
    <row r="290" spans="4:15">
      <c r="D290" s="18">
        <f t="shared" si="3"/>
        <v>35</v>
      </c>
      <c r="E290" s="18" t="s">
        <v>71</v>
      </c>
      <c r="F290" s="181"/>
      <c r="G290" s="181"/>
      <c r="H290" s="181"/>
      <c r="I290" s="181"/>
      <c r="J290" s="181"/>
      <c r="K290" s="18"/>
      <c r="L290" s="30"/>
      <c r="M290" s="18"/>
      <c r="N290" s="178"/>
      <c r="O290" s="178"/>
    </row>
    <row r="291" spans="4:15">
      <c r="D291" s="18">
        <f t="shared" si="3"/>
        <v>36</v>
      </c>
      <c r="E291" s="18" t="s">
        <v>71</v>
      </c>
      <c r="F291" s="181"/>
      <c r="G291" s="181"/>
      <c r="H291" s="181"/>
      <c r="I291" s="181"/>
      <c r="J291" s="181"/>
      <c r="K291" s="18"/>
      <c r="L291" s="30"/>
      <c r="M291" s="18"/>
      <c r="N291" s="178"/>
      <c r="O291" s="178"/>
    </row>
    <row r="292" spans="4:15">
      <c r="D292" s="18">
        <f t="shared" si="3"/>
        <v>37</v>
      </c>
      <c r="E292" s="18" t="s">
        <v>71</v>
      </c>
      <c r="F292" s="181"/>
      <c r="G292" s="181"/>
      <c r="H292" s="181"/>
      <c r="I292" s="181"/>
      <c r="J292" s="181"/>
      <c r="K292" s="18"/>
      <c r="L292" s="30"/>
      <c r="M292" s="18"/>
      <c r="N292" s="178"/>
      <c r="O292" s="178"/>
    </row>
    <row r="293" spans="4:15">
      <c r="D293" s="18">
        <f t="shared" si="3"/>
        <v>38</v>
      </c>
      <c r="E293" s="18" t="s">
        <v>71</v>
      </c>
      <c r="F293" s="181"/>
      <c r="G293" s="181"/>
      <c r="H293" s="181"/>
      <c r="I293" s="181"/>
      <c r="J293" s="181"/>
      <c r="K293" s="18"/>
      <c r="L293" s="30"/>
      <c r="M293" s="18"/>
      <c r="N293" s="178"/>
      <c r="O293" s="178"/>
    </row>
    <row r="294" spans="4:15">
      <c r="D294" s="18">
        <f t="shared" si="3"/>
        <v>39</v>
      </c>
      <c r="E294" s="18" t="s">
        <v>71</v>
      </c>
      <c r="F294" s="181"/>
      <c r="G294" s="181"/>
      <c r="H294" s="181"/>
      <c r="I294" s="181"/>
      <c r="J294" s="181"/>
      <c r="K294" s="18"/>
      <c r="L294" s="30"/>
      <c r="M294" s="18"/>
      <c r="N294" s="178"/>
      <c r="O294" s="178"/>
    </row>
    <row r="295" spans="4:15">
      <c r="D295" s="18">
        <f t="shared" si="3"/>
        <v>40</v>
      </c>
      <c r="E295" s="18" t="s">
        <v>71</v>
      </c>
      <c r="F295" s="181"/>
      <c r="G295" s="181"/>
      <c r="H295" s="181"/>
      <c r="I295" s="181"/>
      <c r="J295" s="181"/>
      <c r="K295" s="18"/>
      <c r="L295" s="30"/>
      <c r="M295" s="18"/>
      <c r="N295" s="178"/>
      <c r="O295" s="178"/>
    </row>
    <row r="296" spans="4:15">
      <c r="D296" s="18">
        <f t="shared" si="3"/>
        <v>41</v>
      </c>
      <c r="E296" s="18" t="s">
        <v>71</v>
      </c>
      <c r="F296" s="181"/>
      <c r="G296" s="181"/>
      <c r="H296" s="181"/>
      <c r="I296" s="181"/>
      <c r="J296" s="181"/>
      <c r="K296" s="18"/>
      <c r="L296" s="30"/>
      <c r="M296" s="18"/>
      <c r="N296" s="178"/>
      <c r="O296" s="178"/>
    </row>
    <row r="297" spans="4:15">
      <c r="D297" s="18">
        <f t="shared" si="3"/>
        <v>42</v>
      </c>
      <c r="E297" s="18" t="s">
        <v>71</v>
      </c>
      <c r="F297" s="181"/>
      <c r="G297" s="181"/>
      <c r="H297" s="181"/>
      <c r="I297" s="181"/>
      <c r="J297" s="181"/>
      <c r="K297" s="18"/>
      <c r="L297" s="30"/>
      <c r="M297" s="18"/>
      <c r="N297" s="178"/>
      <c r="O297" s="178"/>
    </row>
    <row r="298" spans="4:15">
      <c r="D298" s="18">
        <f t="shared" si="3"/>
        <v>43</v>
      </c>
      <c r="E298" s="18" t="s">
        <v>71</v>
      </c>
      <c r="F298" s="181"/>
      <c r="G298" s="181"/>
      <c r="H298" s="181"/>
      <c r="I298" s="181"/>
      <c r="J298" s="181"/>
      <c r="K298" s="18"/>
      <c r="L298" s="30"/>
      <c r="M298" s="18"/>
      <c r="N298" s="178"/>
      <c r="O298" s="178"/>
    </row>
    <row r="299" spans="4:15">
      <c r="D299" s="18">
        <f t="shared" si="3"/>
        <v>44</v>
      </c>
      <c r="E299" s="18" t="s">
        <v>71</v>
      </c>
      <c r="F299" s="181"/>
      <c r="G299" s="181"/>
      <c r="H299" s="181"/>
      <c r="I299" s="181"/>
      <c r="J299" s="181"/>
      <c r="K299" s="18"/>
      <c r="L299" s="30"/>
      <c r="M299" s="18"/>
      <c r="N299" s="178"/>
      <c r="O299" s="178"/>
    </row>
    <row r="300" spans="4:15">
      <c r="D300" s="18">
        <f t="shared" si="3"/>
        <v>45</v>
      </c>
      <c r="E300" s="18" t="s">
        <v>71</v>
      </c>
      <c r="F300" s="181"/>
      <c r="G300" s="181"/>
      <c r="H300" s="181"/>
      <c r="I300" s="181"/>
      <c r="J300" s="181"/>
      <c r="K300" s="18"/>
      <c r="L300" s="30"/>
      <c r="M300" s="18"/>
      <c r="N300" s="178"/>
      <c r="O300" s="178"/>
    </row>
    <row r="301" spans="4:15">
      <c r="D301" s="18">
        <f t="shared" si="3"/>
        <v>46</v>
      </c>
      <c r="E301" s="18" t="s">
        <v>71</v>
      </c>
      <c r="F301" s="181"/>
      <c r="G301" s="181"/>
      <c r="H301" s="181"/>
      <c r="I301" s="181"/>
      <c r="J301" s="181"/>
      <c r="K301" s="18"/>
      <c r="L301" s="30"/>
      <c r="M301" s="18"/>
      <c r="N301" s="178"/>
      <c r="O301" s="178"/>
    </row>
    <row r="302" spans="4:15" ht="15.75">
      <c r="D302" s="18"/>
      <c r="E302" s="18"/>
      <c r="F302" s="173"/>
      <c r="G302" s="173"/>
      <c r="H302" s="173"/>
      <c r="I302" s="173"/>
      <c r="J302" s="181"/>
      <c r="K302" s="18"/>
      <c r="L302" s="30"/>
      <c r="M302" s="18"/>
      <c r="N302" s="178"/>
      <c r="O302" s="178"/>
    </row>
    <row r="303" spans="4:15" ht="15.75">
      <c r="D303" s="18"/>
      <c r="E303" s="18"/>
      <c r="F303" s="173"/>
      <c r="G303" s="173"/>
      <c r="H303" s="173"/>
      <c r="I303" s="173"/>
      <c r="J303" s="181"/>
      <c r="K303" s="18"/>
      <c r="L303" s="30"/>
      <c r="M303" s="18"/>
      <c r="N303" s="178"/>
      <c r="O303" s="178"/>
    </row>
    <row r="304" spans="4:15" ht="15.75">
      <c r="D304" s="18"/>
      <c r="E304" s="18"/>
      <c r="F304" s="173"/>
      <c r="G304" s="173"/>
      <c r="H304" s="173"/>
      <c r="I304" s="173"/>
      <c r="J304" s="181"/>
      <c r="K304" s="18"/>
      <c r="L304" s="30"/>
      <c r="M304" s="18"/>
      <c r="N304" s="178"/>
      <c r="O304" s="178"/>
    </row>
    <row r="305" spans="4:15" ht="15.75">
      <c r="D305" s="18"/>
      <c r="E305" s="18"/>
      <c r="F305" s="173"/>
      <c r="G305" s="173"/>
      <c r="H305" s="173"/>
      <c r="I305" s="173"/>
      <c r="J305" s="181"/>
      <c r="K305" s="18"/>
      <c r="L305" s="30"/>
      <c r="M305" s="18"/>
      <c r="N305" s="178"/>
      <c r="O305" s="178"/>
    </row>
    <row r="306" spans="4:15" ht="15.75">
      <c r="D306" s="18"/>
      <c r="E306" s="18"/>
      <c r="F306" s="173"/>
      <c r="G306" s="173"/>
      <c r="H306" s="173"/>
      <c r="I306" s="173"/>
      <c r="J306" s="181"/>
      <c r="K306" s="18"/>
      <c r="L306" s="30"/>
      <c r="M306" s="18"/>
      <c r="N306" s="178"/>
      <c r="O306" s="178"/>
    </row>
    <row r="307" spans="4:15" ht="15.75">
      <c r="D307" s="18"/>
      <c r="E307" s="18"/>
      <c r="F307" s="173"/>
      <c r="G307" s="173"/>
      <c r="H307" s="173"/>
      <c r="I307" s="173"/>
      <c r="J307" s="181"/>
      <c r="K307" s="18"/>
      <c r="L307" s="30"/>
      <c r="M307" s="18"/>
      <c r="N307" s="178"/>
      <c r="O307" s="178"/>
    </row>
    <row r="308" spans="4:15" ht="15.75">
      <c r="D308" s="18"/>
      <c r="E308" s="18"/>
      <c r="F308" s="173"/>
      <c r="G308" s="173"/>
      <c r="H308" s="173"/>
      <c r="I308" s="173"/>
      <c r="J308" s="181"/>
      <c r="K308" s="18"/>
      <c r="L308" s="30"/>
      <c r="M308" s="18"/>
      <c r="N308" s="178"/>
      <c r="O308" s="178"/>
    </row>
    <row r="309" spans="4:15" ht="15.75">
      <c r="D309" s="18"/>
      <c r="E309" s="18"/>
      <c r="F309" s="173"/>
      <c r="G309" s="173"/>
      <c r="H309" s="173"/>
      <c r="I309" s="173"/>
      <c r="J309" s="181"/>
      <c r="K309" s="18"/>
      <c r="L309" s="30"/>
      <c r="M309" s="18"/>
      <c r="N309" s="178"/>
      <c r="O309" s="178"/>
    </row>
    <row r="310" spans="4:15" ht="15.75">
      <c r="D310" s="18"/>
      <c r="E310" s="18"/>
      <c r="F310" s="173"/>
      <c r="G310" s="173"/>
      <c r="H310" s="173"/>
      <c r="I310" s="173"/>
      <c r="J310" s="181"/>
      <c r="K310" s="18"/>
      <c r="L310" s="30"/>
      <c r="M310" s="18"/>
      <c r="N310" s="178"/>
      <c r="O310" s="178"/>
    </row>
    <row r="311" spans="4:15" ht="15.75">
      <c r="D311" s="18"/>
      <c r="E311" s="18"/>
      <c r="F311" s="173"/>
      <c r="G311" s="173"/>
      <c r="H311" s="173"/>
      <c r="I311" s="173"/>
      <c r="J311" s="181"/>
      <c r="K311" s="18"/>
      <c r="L311" s="30"/>
      <c r="M311" s="18"/>
      <c r="N311" s="178"/>
      <c r="O311" s="178"/>
    </row>
    <row r="312" spans="4:15" ht="15.75">
      <c r="D312" s="18"/>
      <c r="E312" s="18"/>
      <c r="F312" s="173"/>
      <c r="G312" s="173"/>
      <c r="H312" s="173"/>
      <c r="I312" s="173"/>
      <c r="J312" s="181"/>
      <c r="K312" s="18"/>
      <c r="L312" s="30"/>
      <c r="M312" s="18"/>
      <c r="N312" s="178"/>
      <c r="O312" s="178"/>
    </row>
    <row r="313" spans="4:15" ht="15.75">
      <c r="D313" s="18"/>
      <c r="E313" s="18"/>
      <c r="F313" s="173"/>
      <c r="G313" s="173"/>
      <c r="H313" s="173"/>
      <c r="I313" s="173"/>
      <c r="J313" s="181"/>
      <c r="K313" s="18"/>
      <c r="L313" s="30"/>
      <c r="M313" s="18"/>
      <c r="N313" s="178"/>
      <c r="O313" s="178"/>
    </row>
    <row r="314" spans="4:15" ht="15.75">
      <c r="D314" s="18"/>
      <c r="E314" s="18"/>
      <c r="F314" s="173"/>
      <c r="G314" s="173"/>
      <c r="H314" s="173"/>
      <c r="I314" s="173"/>
      <c r="J314" s="181"/>
      <c r="K314" s="18"/>
      <c r="L314" s="30"/>
      <c r="M314" s="18"/>
      <c r="N314" s="178"/>
      <c r="O314" s="178"/>
    </row>
    <row r="315" spans="4:15" ht="15.75">
      <c r="D315" s="18"/>
      <c r="E315" s="18"/>
      <c r="F315" s="173"/>
      <c r="G315" s="173"/>
      <c r="H315" s="173"/>
      <c r="I315" s="173"/>
      <c r="J315" s="181"/>
      <c r="K315" s="18"/>
      <c r="L315" s="30"/>
      <c r="M315" s="18"/>
      <c r="N315" s="178"/>
      <c r="O315" s="178"/>
    </row>
    <row r="316" spans="4:15" ht="15.75">
      <c r="D316" s="18"/>
      <c r="E316" s="18"/>
      <c r="F316" s="173"/>
      <c r="G316" s="173"/>
      <c r="H316" s="173"/>
      <c r="I316" s="173"/>
      <c r="J316" s="181"/>
      <c r="K316" s="18"/>
      <c r="L316" s="30"/>
      <c r="M316" s="18"/>
      <c r="N316" s="178"/>
      <c r="O316" s="178"/>
    </row>
    <row r="317" spans="4:15" ht="15.75">
      <c r="D317" s="18"/>
      <c r="E317" s="18"/>
      <c r="F317" s="173"/>
      <c r="G317" s="173"/>
      <c r="H317" s="173"/>
      <c r="I317" s="173"/>
      <c r="J317" s="181"/>
      <c r="K317" s="18"/>
      <c r="L317" s="30"/>
      <c r="M317" s="18"/>
      <c r="N317" s="178"/>
      <c r="O317" s="178"/>
    </row>
    <row r="318" spans="4:15" ht="15.75">
      <c r="D318" s="18"/>
      <c r="E318" s="18"/>
      <c r="F318" s="173"/>
      <c r="G318" s="173"/>
      <c r="H318" s="173"/>
      <c r="I318" s="173"/>
      <c r="J318" s="181"/>
      <c r="K318" s="18"/>
      <c r="L318" s="30"/>
      <c r="M318" s="18"/>
      <c r="N318" s="178"/>
      <c r="O318" s="178"/>
    </row>
    <row r="319" spans="4:15" ht="15.75">
      <c r="D319" s="18"/>
      <c r="E319" s="18"/>
      <c r="F319" s="173"/>
      <c r="G319" s="173"/>
      <c r="H319" s="173"/>
      <c r="I319" s="173"/>
      <c r="J319" s="181"/>
      <c r="K319" s="18"/>
      <c r="L319" s="30"/>
      <c r="M319" s="18"/>
      <c r="N319" s="178"/>
      <c r="O319" s="178"/>
    </row>
    <row r="320" spans="4:15" ht="15.75">
      <c r="D320" s="18"/>
      <c r="E320" s="18"/>
      <c r="F320" s="173"/>
      <c r="G320" s="173"/>
      <c r="H320" s="173"/>
      <c r="I320" s="173"/>
      <c r="J320" s="181"/>
      <c r="K320" s="18"/>
      <c r="L320" s="30"/>
      <c r="M320" s="18"/>
      <c r="N320" s="178"/>
      <c r="O320" s="178"/>
    </row>
    <row r="321" spans="4:15" ht="15.75">
      <c r="D321" s="18"/>
      <c r="E321" s="18"/>
      <c r="F321" s="173"/>
      <c r="G321" s="173"/>
      <c r="H321" s="173"/>
      <c r="I321" s="173"/>
      <c r="J321" s="181"/>
      <c r="K321" s="18"/>
      <c r="L321" s="30"/>
      <c r="M321" s="18"/>
      <c r="N321" s="178"/>
      <c r="O321" s="178"/>
    </row>
    <row r="322" spans="4:15" ht="15.75">
      <c r="D322" s="18"/>
      <c r="E322" s="18"/>
      <c r="F322" s="173"/>
      <c r="G322" s="173"/>
      <c r="H322" s="173"/>
      <c r="I322" s="173"/>
      <c r="J322" s="181"/>
      <c r="K322" s="18"/>
      <c r="L322" s="30"/>
      <c r="M322" s="18"/>
      <c r="N322" s="178"/>
      <c r="O322" s="178"/>
    </row>
    <row r="323" spans="4:15" ht="15.75">
      <c r="D323" s="18"/>
      <c r="E323" s="18"/>
      <c r="F323" s="173"/>
      <c r="G323" s="173"/>
      <c r="H323" s="173"/>
      <c r="I323" s="173"/>
      <c r="J323" s="181"/>
      <c r="K323" s="18"/>
      <c r="L323" s="30"/>
      <c r="M323" s="18"/>
      <c r="N323" s="178"/>
      <c r="O323" s="178"/>
    </row>
    <row r="324" spans="4:15" ht="15.75">
      <c r="D324" s="18"/>
      <c r="E324" s="18"/>
      <c r="F324" s="173"/>
      <c r="G324" s="173"/>
      <c r="H324" s="173"/>
      <c r="I324" s="173"/>
      <c r="J324" s="181"/>
      <c r="K324" s="18"/>
      <c r="L324" s="30"/>
      <c r="M324" s="18"/>
      <c r="N324" s="178"/>
      <c r="O324" s="178"/>
    </row>
    <row r="325" spans="4:15" ht="15.75">
      <c r="D325" s="18"/>
      <c r="E325" s="18"/>
      <c r="F325" s="173"/>
      <c r="G325" s="173"/>
      <c r="H325" s="173"/>
      <c r="I325" s="173"/>
      <c r="J325" s="181"/>
      <c r="K325" s="18"/>
      <c r="L325" s="30"/>
      <c r="M325" s="18"/>
      <c r="N325" s="178"/>
      <c r="O325" s="178"/>
    </row>
    <row r="326" spans="4:15">
      <c r="D326" s="374"/>
      <c r="E326" s="374"/>
      <c r="F326" s="374"/>
      <c r="G326" s="374"/>
      <c r="H326" s="374"/>
      <c r="I326" s="374"/>
      <c r="J326" s="374"/>
      <c r="K326" s="374"/>
      <c r="L326" s="374"/>
      <c r="M326" s="374"/>
      <c r="N326" s="374"/>
      <c r="O326" s="374"/>
    </row>
    <row r="327" spans="4:15">
      <c r="D327" s="324"/>
      <c r="E327" s="324"/>
      <c r="F327" s="325" t="s">
        <v>86</v>
      </c>
      <c r="G327" s="325"/>
      <c r="H327" s="325"/>
      <c r="I327" s="325"/>
      <c r="J327" s="325" t="s">
        <v>87</v>
      </c>
      <c r="K327" s="325"/>
      <c r="L327" s="325"/>
      <c r="M327" s="325" t="s">
        <v>39</v>
      </c>
      <c r="N327" s="325"/>
      <c r="O327" s="325"/>
    </row>
    <row r="328" spans="4:15">
      <c r="D328" s="295" t="s">
        <v>40</v>
      </c>
      <c r="E328" s="295"/>
      <c r="F328" s="317"/>
      <c r="G328" s="317"/>
      <c r="H328" s="317"/>
      <c r="I328" s="317"/>
      <c r="J328" s="317"/>
      <c r="K328" s="317"/>
      <c r="L328" s="317"/>
      <c r="M328" s="317"/>
      <c r="N328" s="317"/>
      <c r="O328" s="317"/>
    </row>
    <row r="329" spans="4:15">
      <c r="D329" s="295" t="s">
        <v>41</v>
      </c>
      <c r="E329" s="295"/>
      <c r="F329" s="317"/>
      <c r="G329" s="317"/>
      <c r="H329" s="317"/>
      <c r="I329" s="317"/>
      <c r="J329" s="317"/>
      <c r="K329" s="317"/>
      <c r="L329" s="317"/>
      <c r="M329" s="317"/>
      <c r="N329" s="317"/>
      <c r="O329" s="317"/>
    </row>
    <row r="330" spans="4:15">
      <c r="D330" s="295" t="s">
        <v>42</v>
      </c>
      <c r="E330" s="295"/>
      <c r="F330" s="317"/>
      <c r="G330" s="317"/>
      <c r="H330" s="317"/>
      <c r="I330" s="317"/>
      <c r="J330" s="317"/>
      <c r="K330" s="317"/>
      <c r="L330" s="317"/>
      <c r="M330" s="317"/>
      <c r="N330" s="317"/>
      <c r="O330" s="317"/>
    </row>
    <row r="331" spans="4:15">
      <c r="D331" s="295" t="s">
        <v>43</v>
      </c>
      <c r="E331" s="295"/>
      <c r="F331" s="315"/>
      <c r="G331" s="316"/>
      <c r="H331" s="316"/>
      <c r="I331" s="316"/>
      <c r="J331" s="317"/>
      <c r="K331" s="317"/>
      <c r="L331" s="317"/>
      <c r="M331" s="317"/>
      <c r="N331" s="317"/>
      <c r="O331" s="317"/>
    </row>
  </sheetData>
  <mergeCells count="164">
    <mergeCell ref="D330:E330"/>
    <mergeCell ref="F330:I330"/>
    <mergeCell ref="J330:L330"/>
    <mergeCell ref="M330:O330"/>
    <mergeCell ref="D331:E331"/>
    <mergeCell ref="F331:I331"/>
    <mergeCell ref="J331:L331"/>
    <mergeCell ref="M331:O331"/>
    <mergeCell ref="D328:E328"/>
    <mergeCell ref="F328:I328"/>
    <mergeCell ref="J328:L328"/>
    <mergeCell ref="M328:O328"/>
    <mergeCell ref="D329:E329"/>
    <mergeCell ref="F329:I329"/>
    <mergeCell ref="J329:L329"/>
    <mergeCell ref="M329:O329"/>
    <mergeCell ref="J254:J255"/>
    <mergeCell ref="K254:M254"/>
    <mergeCell ref="N254:N255"/>
    <mergeCell ref="O254:O255"/>
    <mergeCell ref="D326:O326"/>
    <mergeCell ref="D327:E327"/>
    <mergeCell ref="F327:I327"/>
    <mergeCell ref="J327:L327"/>
    <mergeCell ref="M327:O327"/>
    <mergeCell ref="D250:O250"/>
    <mergeCell ref="D252:O252"/>
    <mergeCell ref="E253:I253"/>
    <mergeCell ref="J253:O253"/>
    <mergeCell ref="D254:D255"/>
    <mergeCell ref="E254:E255"/>
    <mergeCell ref="F254:F255"/>
    <mergeCell ref="G254:G255"/>
    <mergeCell ref="H254:H255"/>
    <mergeCell ref="I254:I255"/>
    <mergeCell ref="D242:D245"/>
    <mergeCell ref="E242:L245"/>
    <mergeCell ref="D246:E246"/>
    <mergeCell ref="D247:E247"/>
    <mergeCell ref="D248:E248"/>
    <mergeCell ref="D249:E249"/>
    <mergeCell ref="D237:E237"/>
    <mergeCell ref="F237:I237"/>
    <mergeCell ref="J237:L237"/>
    <mergeCell ref="M237:O237"/>
    <mergeCell ref="D238:E238"/>
    <mergeCell ref="F238:I238"/>
    <mergeCell ref="J238:L238"/>
    <mergeCell ref="M238:O238"/>
    <mergeCell ref="D235:E235"/>
    <mergeCell ref="F235:I235"/>
    <mergeCell ref="J235:L235"/>
    <mergeCell ref="M235:O235"/>
    <mergeCell ref="D236:E236"/>
    <mergeCell ref="F236:I236"/>
    <mergeCell ref="J236:L236"/>
    <mergeCell ref="M236:O236"/>
    <mergeCell ref="J161:J162"/>
    <mergeCell ref="K161:M161"/>
    <mergeCell ref="N161:N162"/>
    <mergeCell ref="O161:O162"/>
    <mergeCell ref="D233:O233"/>
    <mergeCell ref="D234:E234"/>
    <mergeCell ref="F234:I234"/>
    <mergeCell ref="J234:L234"/>
    <mergeCell ref="M234:O234"/>
    <mergeCell ref="D157:O157"/>
    <mergeCell ref="D159:O159"/>
    <mergeCell ref="E160:I160"/>
    <mergeCell ref="J160:O160"/>
    <mergeCell ref="D161:D162"/>
    <mergeCell ref="E161:E162"/>
    <mergeCell ref="F161:F162"/>
    <mergeCell ref="G161:G162"/>
    <mergeCell ref="H161:H162"/>
    <mergeCell ref="I161:I162"/>
    <mergeCell ref="D149:D152"/>
    <mergeCell ref="E149:L152"/>
    <mergeCell ref="D153:E153"/>
    <mergeCell ref="D154:E154"/>
    <mergeCell ref="D155:E155"/>
    <mergeCell ref="D156:E156"/>
    <mergeCell ref="D145:E145"/>
    <mergeCell ref="F145:I145"/>
    <mergeCell ref="J145:L145"/>
    <mergeCell ref="M145:O145"/>
    <mergeCell ref="D146:E146"/>
    <mergeCell ref="F146:I146"/>
    <mergeCell ref="J146:L146"/>
    <mergeCell ref="M146:O146"/>
    <mergeCell ref="D143:E143"/>
    <mergeCell ref="F143:I143"/>
    <mergeCell ref="J143:L143"/>
    <mergeCell ref="M143:O143"/>
    <mergeCell ref="D144:E144"/>
    <mergeCell ref="F144:I144"/>
    <mergeCell ref="J144:L144"/>
    <mergeCell ref="M144:O144"/>
    <mergeCell ref="J97:J98"/>
    <mergeCell ref="K97:M97"/>
    <mergeCell ref="N97:N98"/>
    <mergeCell ref="O97:O98"/>
    <mergeCell ref="D141:O141"/>
    <mergeCell ref="D142:E142"/>
    <mergeCell ref="F142:I142"/>
    <mergeCell ref="J142:L142"/>
    <mergeCell ref="M142:O142"/>
    <mergeCell ref="D93:O93"/>
    <mergeCell ref="D95:O95"/>
    <mergeCell ref="E96:I96"/>
    <mergeCell ref="J96:O96"/>
    <mergeCell ref="D97:D98"/>
    <mergeCell ref="E97:E98"/>
    <mergeCell ref="F97:F98"/>
    <mergeCell ref="G97:G98"/>
    <mergeCell ref="H97:H98"/>
    <mergeCell ref="I97:I98"/>
    <mergeCell ref="D85:D88"/>
    <mergeCell ref="E85:L88"/>
    <mergeCell ref="D89:E89"/>
    <mergeCell ref="D90:E90"/>
    <mergeCell ref="D91:E91"/>
    <mergeCell ref="D92:E92"/>
    <mergeCell ref="D80:E80"/>
    <mergeCell ref="F80:I80"/>
    <mergeCell ref="J80:L80"/>
    <mergeCell ref="M80:O80"/>
    <mergeCell ref="D81:E81"/>
    <mergeCell ref="F81:I81"/>
    <mergeCell ref="J81:L81"/>
    <mergeCell ref="M81:O81"/>
    <mergeCell ref="D78:E78"/>
    <mergeCell ref="F78:I78"/>
    <mergeCell ref="J78:L78"/>
    <mergeCell ref="M78:O78"/>
    <mergeCell ref="D79:E79"/>
    <mergeCell ref="F79:I79"/>
    <mergeCell ref="J79:L79"/>
    <mergeCell ref="M79:O79"/>
    <mergeCell ref="J17:J18"/>
    <mergeCell ref="K17:M17"/>
    <mergeCell ref="N17:N18"/>
    <mergeCell ref="O17:O18"/>
    <mergeCell ref="D76:O76"/>
    <mergeCell ref="D77:E77"/>
    <mergeCell ref="F77:I77"/>
    <mergeCell ref="J77:L77"/>
    <mergeCell ref="M77:O77"/>
    <mergeCell ref="D13:O13"/>
    <mergeCell ref="D15:O15"/>
    <mergeCell ref="E16:I16"/>
    <mergeCell ref="J16:O16"/>
    <mergeCell ref="D17:D18"/>
    <mergeCell ref="E17:E18"/>
    <mergeCell ref="F17:F18"/>
    <mergeCell ref="G17:G18"/>
    <mergeCell ref="H17:H18"/>
    <mergeCell ref="I17:I18"/>
    <mergeCell ref="D5:D8"/>
    <mergeCell ref="E5:L8"/>
    <mergeCell ref="D9:E9"/>
    <mergeCell ref="D10:E10"/>
    <mergeCell ref="D11:E11"/>
    <mergeCell ref="D12:E12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1"/>
  <sheetViews>
    <sheetView topLeftCell="A4" workbookViewId="0">
      <selection activeCell="G15" sqref="G15"/>
    </sheetView>
  </sheetViews>
  <sheetFormatPr defaultColWidth="12.28515625" defaultRowHeight="15"/>
  <cols>
    <col min="1" max="1" width="13.42578125" customWidth="1"/>
    <col min="8" max="9" width="20.42578125" customWidth="1"/>
    <col min="10" max="10" width="13.140625" customWidth="1"/>
    <col min="11" max="11" width="11.85546875" customWidth="1"/>
    <col min="12" max="12" width="11.28515625" customWidth="1"/>
  </cols>
  <sheetData>
    <row r="1" spans="1:14" ht="15" customHeight="1">
      <c r="A1" s="206"/>
      <c r="B1" s="211" t="s">
        <v>44</v>
      </c>
      <c r="C1" s="212"/>
      <c r="D1" s="212"/>
      <c r="E1" s="212"/>
      <c r="F1" s="212"/>
      <c r="G1" s="212"/>
      <c r="H1" s="213"/>
      <c r="I1" s="2"/>
      <c r="J1" s="20"/>
      <c r="K1" s="20"/>
      <c r="L1" s="21"/>
    </row>
    <row r="2" spans="1:14" ht="15" customHeight="1">
      <c r="A2" s="207"/>
      <c r="B2" s="214"/>
      <c r="C2" s="215"/>
      <c r="D2" s="215"/>
      <c r="E2" s="215"/>
      <c r="F2" s="215"/>
      <c r="G2" s="215"/>
      <c r="H2" s="216"/>
      <c r="I2" s="4"/>
      <c r="L2" s="22"/>
    </row>
    <row r="3" spans="1:14" ht="15" customHeight="1">
      <c r="A3" s="207"/>
      <c r="B3" s="214"/>
      <c r="C3" s="215"/>
      <c r="D3" s="215"/>
      <c r="E3" s="215"/>
      <c r="F3" s="215"/>
      <c r="G3" s="215"/>
      <c r="H3" s="216"/>
      <c r="I3" s="4"/>
      <c r="L3" s="22"/>
    </row>
    <row r="4" spans="1:14" ht="15.75" customHeight="1">
      <c r="A4" s="207"/>
      <c r="B4" s="214"/>
      <c r="C4" s="215"/>
      <c r="D4" s="215"/>
      <c r="E4" s="215"/>
      <c r="F4" s="215"/>
      <c r="G4" s="215"/>
      <c r="H4" s="216"/>
      <c r="I4" s="4"/>
      <c r="L4" s="22"/>
    </row>
    <row r="5" spans="1:14" ht="28.5" customHeight="1">
      <c r="A5" s="223" t="s">
        <v>45</v>
      </c>
      <c r="B5" s="224"/>
      <c r="C5" s="7" t="s">
        <v>46</v>
      </c>
      <c r="D5" s="8"/>
      <c r="E5" s="8"/>
      <c r="F5" s="8"/>
      <c r="G5" s="8"/>
      <c r="H5" s="8"/>
      <c r="I5" s="8"/>
      <c r="J5" s="8"/>
      <c r="K5" s="8"/>
      <c r="L5" s="23"/>
      <c r="N5" t="s">
        <v>47</v>
      </c>
    </row>
    <row r="6" spans="1:14" ht="18" customHeight="1">
      <c r="A6" s="223" t="s">
        <v>48</v>
      </c>
      <c r="B6" s="224"/>
      <c r="C6" s="7" t="s">
        <v>49</v>
      </c>
      <c r="D6" s="8"/>
      <c r="E6" s="8"/>
      <c r="F6" s="8"/>
      <c r="G6" s="8"/>
      <c r="H6" s="8"/>
      <c r="I6" s="8"/>
      <c r="J6" s="8"/>
      <c r="K6" s="8"/>
      <c r="L6" s="23"/>
    </row>
    <row r="7" spans="1:14" ht="18" customHeight="1">
      <c r="A7" s="225" t="s">
        <v>50</v>
      </c>
      <c r="B7" s="226"/>
      <c r="C7" s="7" t="s">
        <v>51</v>
      </c>
      <c r="D7" s="8"/>
      <c r="E7" s="8"/>
      <c r="F7" s="8"/>
      <c r="G7" s="8"/>
      <c r="H7" s="8"/>
      <c r="I7" s="8"/>
      <c r="J7" s="8"/>
      <c r="K7" s="8"/>
      <c r="L7" s="23"/>
    </row>
    <row r="8" spans="1:14" ht="18" customHeight="1">
      <c r="A8" s="223" t="s">
        <v>52</v>
      </c>
      <c r="B8" s="224"/>
      <c r="C8" s="7" t="s">
        <v>53</v>
      </c>
      <c r="D8" s="8"/>
      <c r="E8" s="8"/>
      <c r="F8" s="8"/>
      <c r="G8" s="8"/>
      <c r="H8" s="8"/>
      <c r="I8" s="8"/>
      <c r="J8" s="8"/>
      <c r="K8" s="8"/>
      <c r="L8" s="23"/>
    </row>
    <row r="9" spans="1:14" ht="15.75" customHeight="1">
      <c r="A9" s="227" t="s">
        <v>90</v>
      </c>
      <c r="B9" s="228"/>
      <c r="C9" s="228"/>
      <c r="D9" s="228"/>
      <c r="E9" s="228"/>
      <c r="F9" s="228"/>
      <c r="G9" s="228"/>
      <c r="H9" s="228"/>
      <c r="I9" s="228"/>
      <c r="J9" s="228"/>
      <c r="K9" s="228"/>
      <c r="L9" s="229"/>
    </row>
    <row r="10" spans="1:14" ht="21.75" customHeight="1">
      <c r="A10" s="11" t="s">
        <v>55</v>
      </c>
      <c r="B10" s="12"/>
      <c r="C10" s="12"/>
      <c r="D10" s="12"/>
      <c r="E10" s="12"/>
      <c r="F10" s="12"/>
      <c r="G10" s="24" t="s">
        <v>56</v>
      </c>
      <c r="H10" s="25"/>
      <c r="I10" s="12"/>
      <c r="J10" s="12"/>
      <c r="K10" s="12"/>
      <c r="L10" s="26"/>
    </row>
    <row r="11" spans="1:14" ht="21.75" customHeight="1">
      <c r="A11" s="217"/>
      <c r="B11" s="218"/>
      <c r="C11" s="218"/>
      <c r="D11" s="218"/>
      <c r="E11" s="218"/>
      <c r="F11" s="218"/>
      <c r="G11" s="218"/>
      <c r="H11" s="218"/>
      <c r="I11" s="218"/>
      <c r="J11" s="218"/>
      <c r="K11" s="218"/>
      <c r="L11" s="219"/>
    </row>
    <row r="12" spans="1:14" ht="22.5" customHeight="1">
      <c r="A12" s="11" t="s">
        <v>91</v>
      </c>
      <c r="B12" s="73"/>
      <c r="C12" s="73"/>
      <c r="D12" s="24"/>
      <c r="E12" s="74"/>
      <c r="F12" s="25"/>
      <c r="G12" s="24" t="s">
        <v>58</v>
      </c>
      <c r="H12" s="82">
        <v>44964</v>
      </c>
      <c r="I12" s="74"/>
      <c r="J12" s="74"/>
      <c r="K12" s="74"/>
      <c r="L12" s="80"/>
    </row>
    <row r="13" spans="1:14" ht="15" customHeight="1">
      <c r="A13" s="208" t="s">
        <v>59</v>
      </c>
      <c r="B13" s="209" t="s">
        <v>60</v>
      </c>
      <c r="C13" s="210" t="s">
        <v>61</v>
      </c>
      <c r="D13" s="210" t="s">
        <v>62</v>
      </c>
      <c r="E13" s="210" t="s">
        <v>63</v>
      </c>
      <c r="F13" s="210" t="s">
        <v>64</v>
      </c>
      <c r="G13" s="243" t="s">
        <v>65</v>
      </c>
      <c r="H13" s="220" t="s">
        <v>66</v>
      </c>
      <c r="I13" s="221"/>
      <c r="J13" s="222"/>
      <c r="K13" s="209" t="s">
        <v>30</v>
      </c>
      <c r="L13" s="244" t="s">
        <v>67</v>
      </c>
    </row>
    <row r="14" spans="1:14" ht="30">
      <c r="A14" s="208"/>
      <c r="B14" s="209"/>
      <c r="C14" s="210"/>
      <c r="D14" s="210"/>
      <c r="E14" s="210"/>
      <c r="F14" s="210"/>
      <c r="G14" s="243"/>
      <c r="H14" s="16" t="s">
        <v>68</v>
      </c>
      <c r="I14" s="62" t="s">
        <v>69</v>
      </c>
      <c r="J14" s="16" t="s">
        <v>70</v>
      </c>
      <c r="K14" s="209"/>
      <c r="L14" s="244"/>
    </row>
    <row r="15" spans="1:14" ht="35.25" customHeight="1">
      <c r="A15" s="132">
        <v>1</v>
      </c>
      <c r="B15" s="83" t="s">
        <v>71</v>
      </c>
      <c r="C15" s="33">
        <v>144.4</v>
      </c>
      <c r="D15" s="33" t="s">
        <v>92</v>
      </c>
      <c r="E15" s="33" t="s">
        <v>93</v>
      </c>
      <c r="F15" s="33" t="s">
        <v>94</v>
      </c>
      <c r="G15" s="33" t="s">
        <v>95</v>
      </c>
      <c r="H15" s="147" t="s">
        <v>96</v>
      </c>
      <c r="I15" s="33" t="s">
        <v>97</v>
      </c>
      <c r="J15" s="33" t="s">
        <v>98</v>
      </c>
      <c r="K15" s="61"/>
      <c r="L15" s="137"/>
    </row>
    <row r="16" spans="1:14" ht="35.25" customHeight="1">
      <c r="A16" s="133"/>
      <c r="B16" s="88"/>
      <c r="C16" s="88"/>
      <c r="D16" s="61"/>
      <c r="E16" s="61"/>
      <c r="F16" s="61"/>
      <c r="G16" s="61"/>
      <c r="H16" s="61"/>
      <c r="I16" s="61"/>
      <c r="J16" s="61"/>
      <c r="K16" s="61"/>
      <c r="L16" s="137"/>
    </row>
    <row r="17" spans="1:12" ht="23.25" customHeight="1">
      <c r="A17" s="238"/>
      <c r="B17" s="222"/>
      <c r="C17" s="239" t="s">
        <v>86</v>
      </c>
      <c r="D17" s="240"/>
      <c r="E17" s="240"/>
      <c r="F17" s="241"/>
      <c r="G17" s="239" t="s">
        <v>87</v>
      </c>
      <c r="H17" s="240"/>
      <c r="I17" s="241"/>
      <c r="J17" s="239" t="s">
        <v>39</v>
      </c>
      <c r="K17" s="240"/>
      <c r="L17" s="242"/>
    </row>
    <row r="18" spans="1:12" ht="20.25" customHeight="1">
      <c r="A18" s="230" t="s">
        <v>40</v>
      </c>
      <c r="B18" s="189"/>
      <c r="C18" s="234" t="s">
        <v>99</v>
      </c>
      <c r="D18" s="235"/>
      <c r="E18" s="235"/>
      <c r="F18" s="236"/>
      <c r="G18" s="234"/>
      <c r="H18" s="235"/>
      <c r="I18" s="236"/>
      <c r="J18" s="234"/>
      <c r="K18" s="235"/>
      <c r="L18" s="237"/>
    </row>
    <row r="19" spans="1:12" ht="20.25" customHeight="1">
      <c r="A19" s="230" t="s">
        <v>41</v>
      </c>
      <c r="B19" s="189"/>
      <c r="C19" s="234" t="s">
        <v>100</v>
      </c>
      <c r="D19" s="235"/>
      <c r="E19" s="235"/>
      <c r="F19" s="236"/>
      <c r="G19" s="234"/>
      <c r="H19" s="235"/>
      <c r="I19" s="236"/>
      <c r="J19" s="234"/>
      <c r="K19" s="235"/>
      <c r="L19" s="237"/>
    </row>
    <row r="20" spans="1:12" ht="20.25" customHeight="1">
      <c r="A20" s="230" t="s">
        <v>42</v>
      </c>
      <c r="B20" s="189"/>
      <c r="C20" s="234"/>
      <c r="D20" s="235"/>
      <c r="E20" s="235"/>
      <c r="F20" s="236"/>
      <c r="G20" s="234"/>
      <c r="H20" s="235"/>
      <c r="I20" s="236"/>
      <c r="J20" s="234"/>
      <c r="K20" s="235"/>
      <c r="L20" s="237"/>
    </row>
    <row r="21" spans="1:12" ht="20.25" customHeight="1">
      <c r="A21" s="245" t="s">
        <v>43</v>
      </c>
      <c r="B21" s="246"/>
      <c r="C21" s="247">
        <v>44964</v>
      </c>
      <c r="D21" s="248"/>
      <c r="E21" s="248"/>
      <c r="F21" s="249"/>
      <c r="G21" s="250"/>
      <c r="H21" s="251"/>
      <c r="I21" s="252"/>
      <c r="J21" s="250"/>
      <c r="K21" s="251"/>
      <c r="L21" s="253"/>
    </row>
  </sheetData>
  <mergeCells count="38">
    <mergeCell ref="A17:B17"/>
    <mergeCell ref="C17:F17"/>
    <mergeCell ref="G17:I17"/>
    <mergeCell ref="J17:L17"/>
    <mergeCell ref="E13:E14"/>
    <mergeCell ref="F13:F14"/>
    <mergeCell ref="G13:G14"/>
    <mergeCell ref="K13:K14"/>
    <mergeCell ref="L13:L14"/>
    <mergeCell ref="A18:B18"/>
    <mergeCell ref="C18:F18"/>
    <mergeCell ref="G18:I18"/>
    <mergeCell ref="J18:L18"/>
    <mergeCell ref="A19:B19"/>
    <mergeCell ref="C19:F19"/>
    <mergeCell ref="G19:I19"/>
    <mergeCell ref="J19:L19"/>
    <mergeCell ref="A20:B20"/>
    <mergeCell ref="C20:F20"/>
    <mergeCell ref="G20:I20"/>
    <mergeCell ref="J20:L20"/>
    <mergeCell ref="A21:B21"/>
    <mergeCell ref="C21:F21"/>
    <mergeCell ref="G21:I21"/>
    <mergeCell ref="J21:L21"/>
    <mergeCell ref="A1:A4"/>
    <mergeCell ref="A13:A14"/>
    <mergeCell ref="B13:B14"/>
    <mergeCell ref="C13:C14"/>
    <mergeCell ref="D13:D14"/>
    <mergeCell ref="B1:H4"/>
    <mergeCell ref="A11:L11"/>
    <mergeCell ref="H13:J13"/>
    <mergeCell ref="A5:B5"/>
    <mergeCell ref="A6:B6"/>
    <mergeCell ref="A7:B7"/>
    <mergeCell ref="A8:B8"/>
    <mergeCell ref="A9:L9"/>
  </mergeCells>
  <pageMargins left="0.23622047244094499" right="0.23622047244094499" top="0.74803149606299202" bottom="0.74803149606299202" header="0.31496062992126" footer="0.31496062992126"/>
  <pageSetup paperSize="9" scale="85"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23"/>
  <sheetViews>
    <sheetView topLeftCell="M7" zoomScaleSheetLayoutView="80" workbookViewId="0">
      <selection activeCell="BO9" sqref="BO9:BO12"/>
    </sheetView>
  </sheetViews>
  <sheetFormatPr defaultColWidth="12.28515625" defaultRowHeight="15"/>
  <cols>
    <col min="1" max="1" width="13.42578125" customWidth="1"/>
    <col min="7" max="7" width="14.28515625" customWidth="1"/>
    <col min="8" max="8" width="19" customWidth="1"/>
    <col min="9" max="9" width="19.5703125" customWidth="1"/>
    <col min="10" max="10" width="13.85546875" customWidth="1"/>
    <col min="11" max="11" width="11.85546875" customWidth="1"/>
    <col min="12" max="12" width="11.28515625" customWidth="1"/>
    <col min="20" max="20" width="17.140625" customWidth="1"/>
    <col min="28" max="28" width="8.28515625" customWidth="1"/>
    <col min="35" max="35" width="16.42578125" customWidth="1"/>
  </cols>
  <sheetData>
    <row r="1" spans="1:66" ht="15" customHeight="1">
      <c r="A1" s="206"/>
      <c r="B1" s="211" t="s">
        <v>44</v>
      </c>
      <c r="C1" s="212"/>
      <c r="D1" s="212"/>
      <c r="E1" s="212"/>
      <c r="F1" s="212"/>
      <c r="G1" s="212"/>
      <c r="H1" s="213"/>
      <c r="I1" s="2"/>
      <c r="J1" s="20"/>
      <c r="K1" s="20"/>
      <c r="L1" s="21"/>
      <c r="N1" s="206"/>
      <c r="O1" s="211" t="s">
        <v>44</v>
      </c>
      <c r="P1" s="212"/>
      <c r="Q1" s="212"/>
      <c r="R1" s="212"/>
      <c r="S1" s="212"/>
      <c r="T1" s="212"/>
      <c r="U1" s="213"/>
      <c r="V1" s="2"/>
      <c r="W1" s="20"/>
      <c r="X1" s="20"/>
      <c r="Y1" s="21"/>
      <c r="AA1" s="206"/>
      <c r="AB1" s="211" t="s">
        <v>44</v>
      </c>
      <c r="AC1" s="212"/>
      <c r="AD1" s="212"/>
      <c r="AE1" s="212"/>
      <c r="AF1" s="212"/>
      <c r="AG1" s="212"/>
      <c r="AH1" s="213"/>
      <c r="AI1" s="2"/>
      <c r="AJ1" s="20"/>
      <c r="AK1" s="20"/>
      <c r="AL1" s="21"/>
      <c r="AN1" s="260"/>
      <c r="AO1" s="254" t="s">
        <v>44</v>
      </c>
      <c r="AP1" s="255"/>
      <c r="AQ1" s="255"/>
      <c r="AR1" s="255"/>
      <c r="AS1" s="255"/>
      <c r="AT1" s="255"/>
      <c r="AU1" s="256"/>
      <c r="AV1" s="141"/>
      <c r="AW1" s="20"/>
      <c r="AX1" s="20"/>
      <c r="AY1" s="21"/>
      <c r="BA1" s="260"/>
      <c r="BB1" s="254" t="s">
        <v>44</v>
      </c>
      <c r="BC1" s="255"/>
      <c r="BD1" s="255"/>
      <c r="BE1" s="255"/>
      <c r="BF1" s="255"/>
      <c r="BG1" s="255"/>
      <c r="BH1" s="256"/>
      <c r="BI1" s="141"/>
      <c r="BJ1" s="20"/>
      <c r="BK1" s="20"/>
      <c r="BL1" s="21"/>
    </row>
    <row r="2" spans="1:66" ht="15" customHeight="1">
      <c r="A2" s="207"/>
      <c r="B2" s="214"/>
      <c r="C2" s="215"/>
      <c r="D2" s="215"/>
      <c r="E2" s="215"/>
      <c r="F2" s="215"/>
      <c r="G2" s="215"/>
      <c r="H2" s="216"/>
      <c r="I2" s="4"/>
      <c r="L2" s="22"/>
      <c r="N2" s="207"/>
      <c r="O2" s="214"/>
      <c r="P2" s="215"/>
      <c r="Q2" s="215"/>
      <c r="R2" s="215"/>
      <c r="S2" s="215"/>
      <c r="T2" s="215"/>
      <c r="U2" s="216"/>
      <c r="V2" s="4"/>
      <c r="Y2" s="22"/>
      <c r="AA2" s="207"/>
      <c r="AB2" s="214"/>
      <c r="AC2" s="215"/>
      <c r="AD2" s="215"/>
      <c r="AE2" s="215"/>
      <c r="AF2" s="215"/>
      <c r="AG2" s="215"/>
      <c r="AH2" s="216"/>
      <c r="AI2" s="4"/>
      <c r="AL2" s="22"/>
      <c r="AN2" s="261"/>
      <c r="AO2" s="257"/>
      <c r="AP2" s="258"/>
      <c r="AQ2" s="258"/>
      <c r="AR2" s="258"/>
      <c r="AS2" s="258"/>
      <c r="AT2" s="258"/>
      <c r="AU2" s="259"/>
      <c r="AV2" s="142"/>
      <c r="AY2" s="22"/>
      <c r="BA2" s="261"/>
      <c r="BB2" s="257"/>
      <c r="BC2" s="258"/>
      <c r="BD2" s="258"/>
      <c r="BE2" s="258"/>
      <c r="BF2" s="258"/>
      <c r="BG2" s="258"/>
      <c r="BH2" s="259"/>
      <c r="BI2" s="142"/>
      <c r="BL2" s="22"/>
    </row>
    <row r="3" spans="1:66" ht="15" customHeight="1">
      <c r="A3" s="207"/>
      <c r="B3" s="214"/>
      <c r="C3" s="215"/>
      <c r="D3" s="215"/>
      <c r="E3" s="215"/>
      <c r="F3" s="215"/>
      <c r="G3" s="215"/>
      <c r="H3" s="216"/>
      <c r="I3" s="4"/>
      <c r="L3" s="22"/>
      <c r="N3" s="207"/>
      <c r="O3" s="214"/>
      <c r="P3" s="215"/>
      <c r="Q3" s="215"/>
      <c r="R3" s="215"/>
      <c r="S3" s="215"/>
      <c r="T3" s="215"/>
      <c r="U3" s="216"/>
      <c r="V3" s="4"/>
      <c r="Y3" s="22"/>
      <c r="AA3" s="207"/>
      <c r="AB3" s="214"/>
      <c r="AC3" s="215"/>
      <c r="AD3" s="215"/>
      <c r="AE3" s="215"/>
      <c r="AF3" s="215"/>
      <c r="AG3" s="215"/>
      <c r="AH3" s="216"/>
      <c r="AI3" s="4"/>
      <c r="AL3" s="22"/>
      <c r="AN3" s="261"/>
      <c r="AO3" s="257"/>
      <c r="AP3" s="258"/>
      <c r="AQ3" s="258"/>
      <c r="AR3" s="258"/>
      <c r="AS3" s="258"/>
      <c r="AT3" s="258"/>
      <c r="AU3" s="259"/>
      <c r="AV3" s="142"/>
      <c r="AY3" s="22"/>
      <c r="BA3" s="261"/>
      <c r="BB3" s="257"/>
      <c r="BC3" s="258"/>
      <c r="BD3" s="258"/>
      <c r="BE3" s="258"/>
      <c r="BF3" s="258"/>
      <c r="BG3" s="258"/>
      <c r="BH3" s="259"/>
      <c r="BI3" s="142"/>
      <c r="BL3" s="22"/>
    </row>
    <row r="4" spans="1:66" ht="15.75" customHeight="1">
      <c r="A4" s="207"/>
      <c r="B4" s="214"/>
      <c r="C4" s="215"/>
      <c r="D4" s="215"/>
      <c r="E4" s="215"/>
      <c r="F4" s="215"/>
      <c r="G4" s="215"/>
      <c r="H4" s="216"/>
      <c r="I4" s="4"/>
      <c r="L4" s="22"/>
      <c r="N4" s="207"/>
      <c r="O4" s="214"/>
      <c r="P4" s="215"/>
      <c r="Q4" s="215"/>
      <c r="R4" s="215"/>
      <c r="S4" s="215"/>
      <c r="T4" s="215"/>
      <c r="U4" s="216"/>
      <c r="V4" s="4"/>
      <c r="Y4" s="22"/>
      <c r="AA4" s="207"/>
      <c r="AB4" s="214"/>
      <c r="AC4" s="215"/>
      <c r="AD4" s="215"/>
      <c r="AE4" s="215"/>
      <c r="AF4" s="215"/>
      <c r="AG4" s="215"/>
      <c r="AH4" s="216"/>
      <c r="AI4" s="4"/>
      <c r="AL4" s="22"/>
      <c r="AN4" s="261"/>
      <c r="AO4" s="257"/>
      <c r="AP4" s="258"/>
      <c r="AQ4" s="258"/>
      <c r="AR4" s="258"/>
      <c r="AS4" s="258"/>
      <c r="AT4" s="258"/>
      <c r="AU4" s="259"/>
      <c r="AV4" s="142"/>
      <c r="AY4" s="22"/>
      <c r="BA4" s="261"/>
      <c r="BB4" s="257"/>
      <c r="BC4" s="258"/>
      <c r="BD4" s="258"/>
      <c r="BE4" s="258"/>
      <c r="BF4" s="258"/>
      <c r="BG4" s="258"/>
      <c r="BH4" s="259"/>
      <c r="BI4" s="142"/>
      <c r="BL4" s="22"/>
    </row>
    <row r="5" spans="1:66" ht="28.5" customHeight="1">
      <c r="A5" s="223" t="s">
        <v>45</v>
      </c>
      <c r="B5" s="224"/>
      <c r="C5" s="7" t="s">
        <v>46</v>
      </c>
      <c r="D5" s="8"/>
      <c r="E5" s="8"/>
      <c r="F5" s="8"/>
      <c r="G5" s="8"/>
      <c r="H5" s="8"/>
      <c r="I5" s="8"/>
      <c r="J5" s="8"/>
      <c r="K5" s="8"/>
      <c r="L5" s="23"/>
      <c r="N5" s="223" t="s">
        <v>45</v>
      </c>
      <c r="O5" s="224"/>
      <c r="P5" s="7" t="s">
        <v>46</v>
      </c>
      <c r="Q5" s="8"/>
      <c r="R5" s="8"/>
      <c r="S5" s="8"/>
      <c r="T5" s="8"/>
      <c r="U5" s="8"/>
      <c r="V5" s="8"/>
      <c r="W5" s="8"/>
      <c r="X5" s="8"/>
      <c r="Y5" s="23"/>
      <c r="AA5" s="223" t="s">
        <v>45</v>
      </c>
      <c r="AB5" s="224"/>
      <c r="AC5" s="7" t="s">
        <v>46</v>
      </c>
      <c r="AD5" s="8"/>
      <c r="AE5" s="8"/>
      <c r="AF5" s="8"/>
      <c r="AG5" s="8"/>
      <c r="AH5" s="8"/>
      <c r="AI5" s="8"/>
      <c r="AJ5" s="8"/>
      <c r="AK5" s="8"/>
      <c r="AL5" s="23"/>
      <c r="AN5" s="287" t="s">
        <v>45</v>
      </c>
      <c r="AO5" s="288"/>
      <c r="AP5" s="143" t="s">
        <v>46</v>
      </c>
      <c r="AQ5" s="144"/>
      <c r="AR5" s="144"/>
      <c r="AS5" s="144"/>
      <c r="AT5" s="144"/>
      <c r="AU5" s="144"/>
      <c r="AV5" s="144"/>
      <c r="AW5" s="144"/>
      <c r="AX5" s="144"/>
      <c r="AY5" s="145"/>
      <c r="BA5" s="287" t="s">
        <v>45</v>
      </c>
      <c r="BB5" s="288"/>
      <c r="BC5" s="143" t="s">
        <v>46</v>
      </c>
      <c r="BD5" s="144"/>
      <c r="BE5" s="144"/>
      <c r="BF5" s="144"/>
      <c r="BG5" s="144"/>
      <c r="BH5" s="144"/>
      <c r="BI5" s="144"/>
      <c r="BJ5" s="144"/>
      <c r="BK5" s="144"/>
      <c r="BL5" s="145"/>
    </row>
    <row r="6" spans="1:66" ht="18" customHeight="1">
      <c r="A6" s="223" t="s">
        <v>48</v>
      </c>
      <c r="B6" s="224"/>
      <c r="C6" s="7" t="s">
        <v>49</v>
      </c>
      <c r="D6" s="8"/>
      <c r="E6" s="8"/>
      <c r="F6" s="8"/>
      <c r="G6" s="8"/>
      <c r="H6" s="8"/>
      <c r="I6" s="8"/>
      <c r="J6" s="8"/>
      <c r="K6" s="8"/>
      <c r="L6" s="23"/>
      <c r="N6" s="223" t="s">
        <v>48</v>
      </c>
      <c r="O6" s="224"/>
      <c r="P6" s="7" t="s">
        <v>49</v>
      </c>
      <c r="Q6" s="8"/>
      <c r="R6" s="8"/>
      <c r="S6" s="8"/>
      <c r="T6" s="8"/>
      <c r="U6" s="8"/>
      <c r="V6" s="8"/>
      <c r="W6" s="8"/>
      <c r="X6" s="8"/>
      <c r="Y6" s="23"/>
      <c r="AA6" s="223" t="s">
        <v>48</v>
      </c>
      <c r="AB6" s="224"/>
      <c r="AC6" s="7" t="s">
        <v>49</v>
      </c>
      <c r="AD6" s="8"/>
      <c r="AE6" s="8"/>
      <c r="AF6" s="8"/>
      <c r="AG6" s="8"/>
      <c r="AH6" s="8"/>
      <c r="AI6" s="8"/>
      <c r="AJ6" s="8"/>
      <c r="AK6" s="8"/>
      <c r="AL6" s="23"/>
      <c r="AN6" s="287" t="s">
        <v>48</v>
      </c>
      <c r="AO6" s="288"/>
      <c r="AP6" s="143" t="s">
        <v>49</v>
      </c>
      <c r="AQ6" s="144"/>
      <c r="AR6" s="144"/>
      <c r="AS6" s="144"/>
      <c r="AT6" s="144"/>
      <c r="AU6" s="144"/>
      <c r="AV6" s="144"/>
      <c r="AW6" s="144"/>
      <c r="AX6" s="144"/>
      <c r="AY6" s="145"/>
      <c r="BA6" s="287" t="s">
        <v>48</v>
      </c>
      <c r="BB6" s="288"/>
      <c r="BC6" s="143" t="s">
        <v>49</v>
      </c>
      <c r="BD6" s="144"/>
      <c r="BE6" s="144"/>
      <c r="BF6" s="144"/>
      <c r="BG6" s="144"/>
      <c r="BH6" s="144"/>
      <c r="BI6" s="144"/>
      <c r="BJ6" s="144"/>
      <c r="BK6" s="144"/>
      <c r="BL6" s="145"/>
    </row>
    <row r="7" spans="1:66" ht="18" customHeight="1">
      <c r="A7" s="225" t="s">
        <v>50</v>
      </c>
      <c r="B7" s="226"/>
      <c r="C7" s="7" t="s">
        <v>51</v>
      </c>
      <c r="D7" s="8"/>
      <c r="E7" s="8"/>
      <c r="F7" s="8"/>
      <c r="G7" s="8"/>
      <c r="H7" s="8"/>
      <c r="I7" s="8"/>
      <c r="J7" s="8"/>
      <c r="K7" s="8"/>
      <c r="L7" s="23"/>
      <c r="N7" s="225" t="s">
        <v>50</v>
      </c>
      <c r="O7" s="226"/>
      <c r="P7" s="7" t="s">
        <v>51</v>
      </c>
      <c r="Q7" s="8"/>
      <c r="R7" s="8"/>
      <c r="S7" s="8"/>
      <c r="T7" s="8"/>
      <c r="U7" s="8"/>
      <c r="V7" s="8"/>
      <c r="W7" s="8"/>
      <c r="X7" s="8"/>
      <c r="Y7" s="23"/>
      <c r="AA7" s="225" t="s">
        <v>50</v>
      </c>
      <c r="AB7" s="226"/>
      <c r="AC7" s="7" t="s">
        <v>51</v>
      </c>
      <c r="AD7" s="8"/>
      <c r="AE7" s="8"/>
      <c r="AF7" s="8"/>
      <c r="AG7" s="8"/>
      <c r="AH7" s="8"/>
      <c r="AI7" s="8"/>
      <c r="AJ7" s="8"/>
      <c r="AK7" s="8"/>
      <c r="AL7" s="23"/>
      <c r="AN7" s="285" t="s">
        <v>50</v>
      </c>
      <c r="AO7" s="286"/>
      <c r="AP7" s="143" t="s">
        <v>51</v>
      </c>
      <c r="AQ7" s="144"/>
      <c r="AR7" s="144"/>
      <c r="AS7" s="144"/>
      <c r="AT7" s="144"/>
      <c r="AU7" s="144"/>
      <c r="AV7" s="144"/>
      <c r="AW7" s="144"/>
      <c r="AX7" s="144"/>
      <c r="AY7" s="145"/>
      <c r="BA7" s="285" t="s">
        <v>50</v>
      </c>
      <c r="BB7" s="286"/>
      <c r="BC7" s="143" t="s">
        <v>51</v>
      </c>
      <c r="BD7" s="144"/>
      <c r="BE7" s="144"/>
      <c r="BF7" s="144"/>
      <c r="BG7" s="144"/>
      <c r="BH7" s="144"/>
      <c r="BI7" s="144"/>
      <c r="BJ7" s="144"/>
      <c r="BK7" s="144"/>
      <c r="BL7" s="145"/>
    </row>
    <row r="8" spans="1:66" ht="18" customHeight="1">
      <c r="A8" s="223" t="s">
        <v>52</v>
      </c>
      <c r="B8" s="224"/>
      <c r="C8" s="7" t="s">
        <v>53</v>
      </c>
      <c r="D8" s="8"/>
      <c r="E8" s="8"/>
      <c r="F8" s="8"/>
      <c r="G8" s="8"/>
      <c r="H8" s="8"/>
      <c r="I8" s="8"/>
      <c r="J8" s="8"/>
      <c r="K8" s="8"/>
      <c r="L8" s="23"/>
      <c r="N8" s="223" t="s">
        <v>52</v>
      </c>
      <c r="O8" s="224"/>
      <c r="P8" s="7" t="s">
        <v>53</v>
      </c>
      <c r="Q8" s="8"/>
      <c r="R8" s="8"/>
      <c r="S8" s="8"/>
      <c r="T8" s="8"/>
      <c r="U8" s="8"/>
      <c r="V8" s="8"/>
      <c r="W8" s="8"/>
      <c r="X8" s="8"/>
      <c r="Y8" s="23"/>
      <c r="AA8" s="223" t="s">
        <v>52</v>
      </c>
      <c r="AB8" s="224"/>
      <c r="AC8" s="7" t="s">
        <v>53</v>
      </c>
      <c r="AD8" s="8"/>
      <c r="AE8" s="8"/>
      <c r="AF8" s="8"/>
      <c r="AG8" s="8"/>
      <c r="AH8" s="8"/>
      <c r="AI8" s="8"/>
      <c r="AJ8" s="8"/>
      <c r="AK8" s="8"/>
      <c r="AL8" s="23"/>
      <c r="AN8" s="287" t="s">
        <v>52</v>
      </c>
      <c r="AO8" s="288"/>
      <c r="AP8" s="143" t="s">
        <v>53</v>
      </c>
      <c r="AQ8" s="144"/>
      <c r="AR8" s="144"/>
      <c r="AS8" s="144"/>
      <c r="AT8" s="144"/>
      <c r="AU8" s="144"/>
      <c r="AV8" s="144"/>
      <c r="AW8" s="144"/>
      <c r="AX8" s="144"/>
      <c r="AY8" s="145"/>
      <c r="BA8" s="287" t="s">
        <v>52</v>
      </c>
      <c r="BB8" s="288"/>
      <c r="BC8" s="143" t="s">
        <v>53</v>
      </c>
      <c r="BD8" s="144"/>
      <c r="BE8" s="144"/>
      <c r="BF8" s="144"/>
      <c r="BG8" s="144"/>
      <c r="BH8" s="144"/>
      <c r="BI8" s="144"/>
      <c r="BJ8" s="144"/>
      <c r="BK8" s="144"/>
      <c r="BL8" s="145"/>
    </row>
    <row r="9" spans="1:66" ht="15.75" customHeight="1">
      <c r="A9" s="227" t="s">
        <v>101</v>
      </c>
      <c r="B9" s="228"/>
      <c r="C9" s="228"/>
      <c r="D9" s="228"/>
      <c r="E9" s="228"/>
      <c r="F9" s="228"/>
      <c r="G9" s="228"/>
      <c r="H9" s="228"/>
      <c r="I9" s="228"/>
      <c r="J9" s="228"/>
      <c r="K9" s="228"/>
      <c r="L9" s="229"/>
      <c r="N9" s="227" t="s">
        <v>101</v>
      </c>
      <c r="O9" s="228"/>
      <c r="P9" s="228"/>
      <c r="Q9" s="228"/>
      <c r="R9" s="228"/>
      <c r="S9" s="228"/>
      <c r="T9" s="228"/>
      <c r="U9" s="228"/>
      <c r="V9" s="228"/>
      <c r="W9" s="228"/>
      <c r="X9" s="228"/>
      <c r="Y9" s="229"/>
      <c r="AA9" s="227" t="s">
        <v>101</v>
      </c>
      <c r="AB9" s="228"/>
      <c r="AC9" s="228"/>
      <c r="AD9" s="228"/>
      <c r="AE9" s="228"/>
      <c r="AF9" s="228"/>
      <c r="AG9" s="228"/>
      <c r="AH9" s="228"/>
      <c r="AI9" s="228"/>
      <c r="AJ9" s="228"/>
      <c r="AK9" s="228"/>
      <c r="AL9" s="229"/>
      <c r="AN9" s="279" t="s">
        <v>101</v>
      </c>
      <c r="AO9" s="280"/>
      <c r="AP9" s="280"/>
      <c r="AQ9" s="280"/>
      <c r="AR9" s="280"/>
      <c r="AS9" s="280"/>
      <c r="AT9" s="280"/>
      <c r="AU9" s="280"/>
      <c r="AV9" s="280"/>
      <c r="AW9" s="280"/>
      <c r="AX9" s="280"/>
      <c r="AY9" s="281"/>
      <c r="BA9" s="279" t="s">
        <v>101</v>
      </c>
      <c r="BB9" s="280"/>
      <c r="BC9" s="280"/>
      <c r="BD9" s="280"/>
      <c r="BE9" s="280"/>
      <c r="BF9" s="280"/>
      <c r="BG9" s="280"/>
      <c r="BH9" s="280"/>
      <c r="BI9" s="280"/>
      <c r="BJ9" s="280"/>
      <c r="BK9" s="280"/>
      <c r="BL9" s="281"/>
    </row>
    <row r="10" spans="1:66" ht="21.75" customHeight="1">
      <c r="A10" s="11" t="s">
        <v>55</v>
      </c>
      <c r="B10" s="12"/>
      <c r="C10" s="12"/>
      <c r="D10" s="12"/>
      <c r="E10" s="12"/>
      <c r="F10" s="12"/>
      <c r="G10" s="24" t="s">
        <v>56</v>
      </c>
      <c r="H10" s="25"/>
      <c r="I10" s="12"/>
      <c r="J10" s="12"/>
      <c r="K10" s="12"/>
      <c r="L10" s="26"/>
      <c r="N10" s="11" t="s">
        <v>55</v>
      </c>
      <c r="O10" s="12"/>
      <c r="P10" s="12"/>
      <c r="Q10" s="12"/>
      <c r="R10" s="12"/>
      <c r="S10" s="12"/>
      <c r="T10" s="24" t="s">
        <v>56</v>
      </c>
      <c r="U10" s="25"/>
      <c r="V10" s="12"/>
      <c r="W10" s="12"/>
      <c r="X10" s="12"/>
      <c r="Y10" s="26"/>
      <c r="AA10" s="11" t="s">
        <v>55</v>
      </c>
      <c r="AB10" s="12"/>
      <c r="AC10" s="12"/>
      <c r="AD10" s="12"/>
      <c r="AE10" s="12"/>
      <c r="AF10" s="12"/>
      <c r="AG10" s="24" t="s">
        <v>56</v>
      </c>
      <c r="AH10" s="25"/>
      <c r="AI10" s="12"/>
      <c r="AJ10" s="12"/>
      <c r="AK10" s="12"/>
      <c r="AL10" s="26"/>
      <c r="AN10" s="11" t="s">
        <v>55</v>
      </c>
      <c r="AO10" s="12"/>
      <c r="AP10" s="12"/>
      <c r="AQ10" s="12"/>
      <c r="AR10" s="12"/>
      <c r="AS10" s="12"/>
      <c r="AT10" s="24" t="s">
        <v>56</v>
      </c>
      <c r="AU10" s="25"/>
      <c r="AV10" s="12"/>
      <c r="AW10" s="12"/>
      <c r="AX10" s="12"/>
      <c r="AY10" s="26"/>
      <c r="BA10" s="11" t="s">
        <v>55</v>
      </c>
      <c r="BB10" s="12"/>
      <c r="BC10" s="12"/>
      <c r="BD10" s="12"/>
      <c r="BE10" s="12"/>
      <c r="BF10" s="12"/>
      <c r="BG10" s="24" t="s">
        <v>56</v>
      </c>
      <c r="BH10" s="25"/>
      <c r="BI10" s="12"/>
      <c r="BJ10" s="12"/>
      <c r="BK10" s="12"/>
      <c r="BL10" s="26"/>
    </row>
    <row r="11" spans="1:66" ht="21.75" customHeight="1">
      <c r="A11" s="217"/>
      <c r="B11" s="218"/>
      <c r="C11" s="218"/>
      <c r="D11" s="218"/>
      <c r="E11" s="218"/>
      <c r="F11" s="218"/>
      <c r="G11" s="218"/>
      <c r="H11" s="218"/>
      <c r="I11" s="218"/>
      <c r="J11" s="218"/>
      <c r="K11" s="218"/>
      <c r="L11" s="219"/>
      <c r="N11" s="217"/>
      <c r="O11" s="218"/>
      <c r="P11" s="218"/>
      <c r="Q11" s="218"/>
      <c r="R11" s="218"/>
      <c r="S11" s="218"/>
      <c r="T11" s="218"/>
      <c r="U11" s="218"/>
      <c r="V11" s="218"/>
      <c r="W11" s="218"/>
      <c r="X11" s="218"/>
      <c r="Y11" s="219"/>
      <c r="AA11" s="217"/>
      <c r="AB11" s="218"/>
      <c r="AC11" s="218"/>
      <c r="AD11" s="218"/>
      <c r="AE11" s="218"/>
      <c r="AF11" s="218"/>
      <c r="AG11" s="218"/>
      <c r="AH11" s="218"/>
      <c r="AI11" s="218"/>
      <c r="AJ11" s="218"/>
      <c r="AK11" s="218"/>
      <c r="AL11" s="219"/>
      <c r="AN11" s="282"/>
      <c r="AO11" s="283"/>
      <c r="AP11" s="283"/>
      <c r="AQ11" s="283"/>
      <c r="AR11" s="283"/>
      <c r="AS11" s="283"/>
      <c r="AT11" s="283"/>
      <c r="AU11" s="283"/>
      <c r="AV11" s="283"/>
      <c r="AW11" s="283"/>
      <c r="AX11" s="283"/>
      <c r="AY11" s="284"/>
      <c r="BA11" s="282"/>
      <c r="BB11" s="283"/>
      <c r="BC11" s="283"/>
      <c r="BD11" s="283"/>
      <c r="BE11" s="283"/>
      <c r="BF11" s="283"/>
      <c r="BG11" s="283"/>
      <c r="BH11" s="283"/>
      <c r="BI11" s="283"/>
      <c r="BJ11" s="283"/>
      <c r="BK11" s="283"/>
      <c r="BL11" s="284"/>
    </row>
    <row r="12" spans="1:66" ht="22.5" customHeight="1">
      <c r="A12" s="11" t="s">
        <v>102</v>
      </c>
      <c r="B12" s="73"/>
      <c r="C12" s="73"/>
      <c r="D12" s="24"/>
      <c r="E12" s="74"/>
      <c r="F12" s="25"/>
      <c r="G12" s="24" t="s">
        <v>58</v>
      </c>
      <c r="H12" s="106">
        <v>44985</v>
      </c>
      <c r="I12" s="74"/>
      <c r="J12" s="74"/>
      <c r="K12" s="74"/>
      <c r="L12" s="80"/>
      <c r="N12" s="11" t="s">
        <v>103</v>
      </c>
      <c r="O12" s="73"/>
      <c r="P12" s="73"/>
      <c r="Q12" s="24"/>
      <c r="R12" s="74"/>
      <c r="S12" s="25"/>
      <c r="T12" s="24" t="s">
        <v>58</v>
      </c>
      <c r="U12" s="106"/>
      <c r="V12" s="74"/>
      <c r="W12" s="74"/>
      <c r="X12" s="74"/>
      <c r="Y12" s="80"/>
      <c r="AA12" s="11" t="s">
        <v>103</v>
      </c>
      <c r="AB12" s="73"/>
      <c r="AC12" s="73"/>
      <c r="AD12" s="24"/>
      <c r="AE12" s="74"/>
      <c r="AF12" s="25"/>
      <c r="AG12" s="24" t="s">
        <v>58</v>
      </c>
      <c r="AH12" s="106"/>
      <c r="AI12" s="74"/>
      <c r="AJ12" s="74"/>
      <c r="AK12" s="74"/>
      <c r="AL12" s="80"/>
      <c r="AN12" s="11" t="s">
        <v>103</v>
      </c>
      <c r="AO12" s="73"/>
      <c r="AP12" s="73"/>
      <c r="AQ12" s="24"/>
      <c r="AR12" s="74"/>
      <c r="AS12" s="25"/>
      <c r="AT12" s="24" t="s">
        <v>58</v>
      </c>
      <c r="AU12" s="82"/>
      <c r="AV12" s="74"/>
      <c r="AW12" s="74"/>
      <c r="AX12" s="74"/>
      <c r="AY12" s="80"/>
      <c r="BA12" s="146" t="s">
        <v>103</v>
      </c>
      <c r="BB12" s="73"/>
      <c r="BC12" s="73"/>
      <c r="BD12" s="24"/>
      <c r="BE12" s="74"/>
      <c r="BF12" s="25"/>
      <c r="BG12" s="24" t="s">
        <v>58</v>
      </c>
      <c r="BH12" s="82"/>
      <c r="BI12" s="74"/>
      <c r="BJ12" s="74"/>
      <c r="BK12" s="74"/>
      <c r="BL12" s="80"/>
    </row>
    <row r="13" spans="1:66" ht="15" customHeight="1">
      <c r="A13" s="208" t="s">
        <v>59</v>
      </c>
      <c r="B13" s="209" t="s">
        <v>60</v>
      </c>
      <c r="C13" s="210" t="s">
        <v>61</v>
      </c>
      <c r="D13" s="210" t="s">
        <v>62</v>
      </c>
      <c r="E13" s="210" t="s">
        <v>63</v>
      </c>
      <c r="F13" s="210" t="s">
        <v>64</v>
      </c>
      <c r="G13" s="243" t="s">
        <v>65</v>
      </c>
      <c r="H13" s="220" t="s">
        <v>66</v>
      </c>
      <c r="I13" s="221"/>
      <c r="J13" s="222"/>
      <c r="K13" s="209" t="s">
        <v>30</v>
      </c>
      <c r="L13" s="244" t="s">
        <v>67</v>
      </c>
      <c r="N13" s="208" t="s">
        <v>59</v>
      </c>
      <c r="O13" s="209" t="s">
        <v>60</v>
      </c>
      <c r="P13" s="210" t="s">
        <v>61</v>
      </c>
      <c r="Q13" s="210" t="s">
        <v>62</v>
      </c>
      <c r="R13" s="210" t="s">
        <v>63</v>
      </c>
      <c r="S13" s="210" t="s">
        <v>64</v>
      </c>
      <c r="T13" s="243" t="s">
        <v>65</v>
      </c>
      <c r="U13" s="220" t="s">
        <v>66</v>
      </c>
      <c r="V13" s="221"/>
      <c r="W13" s="222"/>
      <c r="X13" s="209" t="s">
        <v>30</v>
      </c>
      <c r="Y13" s="244" t="s">
        <v>67</v>
      </c>
      <c r="AA13" s="208" t="s">
        <v>59</v>
      </c>
      <c r="AB13" s="209" t="s">
        <v>60</v>
      </c>
      <c r="AC13" s="210" t="s">
        <v>61</v>
      </c>
      <c r="AD13" s="210" t="s">
        <v>62</v>
      </c>
      <c r="AE13" s="210" t="s">
        <v>63</v>
      </c>
      <c r="AF13" s="210" t="s">
        <v>64</v>
      </c>
      <c r="AG13" s="243" t="s">
        <v>65</v>
      </c>
      <c r="AH13" s="220" t="s">
        <v>66</v>
      </c>
      <c r="AI13" s="221"/>
      <c r="AJ13" s="222"/>
      <c r="AK13" s="209" t="s">
        <v>30</v>
      </c>
      <c r="AL13" s="244" t="s">
        <v>67</v>
      </c>
      <c r="AN13" s="208" t="s">
        <v>59</v>
      </c>
      <c r="AO13" s="209" t="s">
        <v>60</v>
      </c>
      <c r="AP13" s="210" t="s">
        <v>61</v>
      </c>
      <c r="AQ13" s="210" t="s">
        <v>62</v>
      </c>
      <c r="AR13" s="210" t="s">
        <v>63</v>
      </c>
      <c r="AS13" s="210" t="s">
        <v>64</v>
      </c>
      <c r="AT13" s="243" t="s">
        <v>65</v>
      </c>
      <c r="AU13" s="220" t="s">
        <v>66</v>
      </c>
      <c r="AV13" s="221"/>
      <c r="AW13" s="222"/>
      <c r="AX13" s="209" t="s">
        <v>30</v>
      </c>
      <c r="AY13" s="244" t="s">
        <v>67</v>
      </c>
      <c r="BA13" s="208" t="s">
        <v>59</v>
      </c>
      <c r="BB13" s="209" t="s">
        <v>60</v>
      </c>
      <c r="BC13" s="210" t="s">
        <v>61</v>
      </c>
      <c r="BD13" s="210" t="s">
        <v>62</v>
      </c>
      <c r="BE13" s="210" t="s">
        <v>63</v>
      </c>
      <c r="BF13" s="210" t="s">
        <v>64</v>
      </c>
      <c r="BG13" s="243" t="s">
        <v>65</v>
      </c>
      <c r="BH13" s="220" t="s">
        <v>66</v>
      </c>
      <c r="BI13" s="221"/>
      <c r="BJ13" s="222"/>
      <c r="BK13" s="209" t="s">
        <v>30</v>
      </c>
      <c r="BL13" s="244" t="s">
        <v>67</v>
      </c>
    </row>
    <row r="14" spans="1:66" ht="45">
      <c r="A14" s="208"/>
      <c r="B14" s="209"/>
      <c r="C14" s="210"/>
      <c r="D14" s="210"/>
      <c r="E14" s="210"/>
      <c r="F14" s="210"/>
      <c r="G14" s="243"/>
      <c r="H14" s="16" t="s">
        <v>68</v>
      </c>
      <c r="I14" s="62" t="s">
        <v>69</v>
      </c>
      <c r="J14" s="16" t="s">
        <v>70</v>
      </c>
      <c r="K14" s="209"/>
      <c r="L14" s="244"/>
      <c r="N14" s="208"/>
      <c r="O14" s="209"/>
      <c r="P14" s="210"/>
      <c r="Q14" s="210"/>
      <c r="R14" s="210"/>
      <c r="S14" s="210"/>
      <c r="T14" s="243"/>
      <c r="U14" s="16" t="s">
        <v>68</v>
      </c>
      <c r="V14" s="62" t="s">
        <v>69</v>
      </c>
      <c r="W14" s="16" t="s">
        <v>70</v>
      </c>
      <c r="X14" s="209"/>
      <c r="Y14" s="244"/>
      <c r="AA14" s="208"/>
      <c r="AB14" s="209"/>
      <c r="AC14" s="210"/>
      <c r="AD14" s="210"/>
      <c r="AE14" s="210"/>
      <c r="AF14" s="210"/>
      <c r="AG14" s="243"/>
      <c r="AH14" s="16" t="s">
        <v>68</v>
      </c>
      <c r="AI14" s="62" t="s">
        <v>69</v>
      </c>
      <c r="AJ14" s="16" t="s">
        <v>70</v>
      </c>
      <c r="AK14" s="209"/>
      <c r="AL14" s="244"/>
      <c r="AN14" s="208"/>
      <c r="AO14" s="209"/>
      <c r="AP14" s="210"/>
      <c r="AQ14" s="210"/>
      <c r="AR14" s="210"/>
      <c r="AS14" s="210"/>
      <c r="AT14" s="243"/>
      <c r="AU14" s="16" t="s">
        <v>68</v>
      </c>
      <c r="AV14" s="62" t="s">
        <v>69</v>
      </c>
      <c r="AW14" s="16" t="s">
        <v>70</v>
      </c>
      <c r="AX14" s="209"/>
      <c r="AY14" s="244"/>
      <c r="BA14" s="208"/>
      <c r="BB14" s="209"/>
      <c r="BC14" s="210"/>
      <c r="BD14" s="210"/>
      <c r="BE14" s="210"/>
      <c r="BF14" s="210"/>
      <c r="BG14" s="243"/>
      <c r="BH14" s="16" t="s">
        <v>68</v>
      </c>
      <c r="BI14" s="62" t="s">
        <v>69</v>
      </c>
      <c r="BJ14" s="16" t="s">
        <v>70</v>
      </c>
      <c r="BK14" s="209"/>
      <c r="BL14" s="244"/>
      <c r="BN14">
        <v>99</v>
      </c>
    </row>
    <row r="15" spans="1:66" ht="35.25" customHeight="1">
      <c r="A15" s="132">
        <v>1</v>
      </c>
      <c r="B15" s="33" t="s">
        <v>71</v>
      </c>
      <c r="C15" s="33">
        <v>144.4</v>
      </c>
      <c r="D15" s="33" t="s">
        <v>104</v>
      </c>
      <c r="E15" s="33" t="s">
        <v>105</v>
      </c>
      <c r="F15" s="33" t="s">
        <v>94</v>
      </c>
      <c r="G15" s="33" t="s">
        <v>106</v>
      </c>
      <c r="H15" s="33" t="s">
        <v>107</v>
      </c>
      <c r="I15" s="33" t="s">
        <v>108</v>
      </c>
      <c r="J15" s="33" t="s">
        <v>109</v>
      </c>
      <c r="K15" s="33"/>
      <c r="L15" s="135"/>
      <c r="N15" s="132">
        <v>1</v>
      </c>
      <c r="O15" s="33" t="s">
        <v>71</v>
      </c>
      <c r="P15" s="33">
        <v>56.7</v>
      </c>
      <c r="Q15" s="33" t="s">
        <v>110</v>
      </c>
      <c r="R15" s="33" t="s">
        <v>111</v>
      </c>
      <c r="S15" s="33">
        <v>68.400000000000006</v>
      </c>
      <c r="T15" s="33" t="s">
        <v>112</v>
      </c>
      <c r="U15" s="33">
        <v>3</v>
      </c>
      <c r="V15" s="33">
        <v>1</v>
      </c>
      <c r="W15" s="140" t="s">
        <v>113</v>
      </c>
      <c r="X15" s="33" t="s">
        <v>114</v>
      </c>
      <c r="Y15" s="135"/>
      <c r="AA15" s="33">
        <v>1</v>
      </c>
      <c r="AB15" s="33" t="s">
        <v>71</v>
      </c>
      <c r="AC15" s="33">
        <v>144.4</v>
      </c>
      <c r="AD15" s="33" t="s">
        <v>115</v>
      </c>
      <c r="AE15" s="33" t="s">
        <v>116</v>
      </c>
      <c r="AF15" s="33">
        <v>255.8</v>
      </c>
      <c r="AG15" s="33" t="s">
        <v>112</v>
      </c>
      <c r="AH15" s="33">
        <v>3</v>
      </c>
      <c r="AI15" s="33">
        <v>1</v>
      </c>
      <c r="AJ15" s="140" t="s">
        <v>113</v>
      </c>
      <c r="AK15" s="33" t="s">
        <v>114</v>
      </c>
      <c r="AL15" s="61"/>
      <c r="AN15" s="33">
        <v>1</v>
      </c>
      <c r="AO15" s="33" t="s">
        <v>71</v>
      </c>
      <c r="AP15" s="33">
        <v>180.6</v>
      </c>
      <c r="AQ15" s="33" t="s">
        <v>117</v>
      </c>
      <c r="AR15" s="33" t="s">
        <v>118</v>
      </c>
      <c r="AS15" s="33">
        <v>351.8</v>
      </c>
      <c r="AT15" s="33" t="s">
        <v>112</v>
      </c>
      <c r="AU15" s="33">
        <v>3</v>
      </c>
      <c r="AV15" s="33">
        <v>1</v>
      </c>
      <c r="AW15" s="140" t="s">
        <v>113</v>
      </c>
      <c r="AX15" s="33" t="s">
        <v>114</v>
      </c>
      <c r="AY15" s="61"/>
      <c r="BA15" s="33">
        <v>1</v>
      </c>
      <c r="BB15" s="33" t="s">
        <v>71</v>
      </c>
      <c r="BC15" s="33">
        <v>99.1</v>
      </c>
      <c r="BD15" s="33" t="s">
        <v>119</v>
      </c>
      <c r="BE15" s="33" t="s">
        <v>120</v>
      </c>
      <c r="BF15" s="33">
        <v>146</v>
      </c>
      <c r="BG15" s="33" t="s">
        <v>112</v>
      </c>
      <c r="BH15" s="33">
        <v>3</v>
      </c>
      <c r="BI15" s="33">
        <v>1</v>
      </c>
      <c r="BJ15" s="140" t="s">
        <v>113</v>
      </c>
      <c r="BK15" s="33" t="s">
        <v>114</v>
      </c>
      <c r="BL15" s="61"/>
    </row>
    <row r="16" spans="1:66" ht="37.5" customHeight="1">
      <c r="A16" s="132"/>
      <c r="B16" s="33"/>
      <c r="C16" s="33"/>
      <c r="D16" s="33"/>
      <c r="E16" s="33"/>
      <c r="F16" s="33"/>
      <c r="G16" s="33"/>
      <c r="H16" s="33"/>
      <c r="I16" s="33"/>
      <c r="J16" s="33"/>
      <c r="K16" s="33"/>
      <c r="L16" s="135"/>
      <c r="N16" s="132">
        <f>1+N15</f>
        <v>2</v>
      </c>
      <c r="O16" s="33" t="s">
        <v>71</v>
      </c>
      <c r="P16" s="33">
        <v>56.7</v>
      </c>
      <c r="Q16" s="33" t="s">
        <v>121</v>
      </c>
      <c r="R16" s="33" t="s">
        <v>122</v>
      </c>
      <c r="S16" s="33">
        <v>95.8</v>
      </c>
      <c r="T16" s="33" t="s">
        <v>112</v>
      </c>
      <c r="U16" s="33">
        <v>3</v>
      </c>
      <c r="V16" s="33">
        <v>1</v>
      </c>
      <c r="W16" s="140" t="s">
        <v>113</v>
      </c>
      <c r="X16" s="33" t="s">
        <v>114</v>
      </c>
      <c r="Y16" s="135"/>
      <c r="AA16" s="33">
        <f t="shared" ref="AA16:AA25" si="0">1+AA15</f>
        <v>2</v>
      </c>
      <c r="AB16" s="33" t="s">
        <v>71</v>
      </c>
      <c r="AC16" s="33">
        <v>144.4</v>
      </c>
      <c r="AD16" s="33" t="s">
        <v>116</v>
      </c>
      <c r="AE16" s="33" t="s">
        <v>123</v>
      </c>
      <c r="AF16" s="33">
        <v>69</v>
      </c>
      <c r="AG16" s="33" t="s">
        <v>112</v>
      </c>
      <c r="AH16" s="33">
        <v>3</v>
      </c>
      <c r="AI16" s="33">
        <v>1</v>
      </c>
      <c r="AJ16" s="140" t="s">
        <v>113</v>
      </c>
      <c r="AK16" s="33" t="s">
        <v>114</v>
      </c>
      <c r="AL16" s="61"/>
      <c r="AN16" s="33">
        <f>1+AN15</f>
        <v>2</v>
      </c>
      <c r="AO16" s="33" t="s">
        <v>71</v>
      </c>
      <c r="AP16" s="33">
        <v>180.6</v>
      </c>
      <c r="AQ16" s="33" t="s">
        <v>118</v>
      </c>
      <c r="AR16" s="33" t="s">
        <v>124</v>
      </c>
      <c r="AS16" s="33">
        <v>633.9</v>
      </c>
      <c r="AT16" s="33" t="s">
        <v>125</v>
      </c>
      <c r="AU16" s="33">
        <v>3</v>
      </c>
      <c r="AV16" s="33">
        <v>1</v>
      </c>
      <c r="AW16" s="140" t="s">
        <v>113</v>
      </c>
      <c r="AX16" s="33" t="s">
        <v>114</v>
      </c>
      <c r="AY16" s="61"/>
      <c r="BA16" s="33">
        <f>1+BA15</f>
        <v>2</v>
      </c>
      <c r="BB16" s="33" t="s">
        <v>71</v>
      </c>
      <c r="BC16" s="33">
        <v>81.099999999999994</v>
      </c>
      <c r="BD16" s="33" t="s">
        <v>120</v>
      </c>
      <c r="BE16" s="33" t="s">
        <v>126</v>
      </c>
      <c r="BF16" s="33">
        <v>47</v>
      </c>
      <c r="BG16" s="33" t="s">
        <v>125</v>
      </c>
      <c r="BH16" s="33">
        <v>3</v>
      </c>
      <c r="BI16" s="33">
        <v>1</v>
      </c>
      <c r="BJ16" s="140" t="s">
        <v>113</v>
      </c>
      <c r="BK16" s="33" t="s">
        <v>114</v>
      </c>
      <c r="BL16" s="61"/>
    </row>
    <row r="17" spans="1:64" ht="37.5" customHeight="1">
      <c r="A17" s="238"/>
      <c r="B17" s="222"/>
      <c r="C17" s="239" t="s">
        <v>86</v>
      </c>
      <c r="D17" s="240"/>
      <c r="E17" s="240"/>
      <c r="F17" s="241"/>
      <c r="G17" s="239" t="s">
        <v>87</v>
      </c>
      <c r="H17" s="240"/>
      <c r="I17" s="241"/>
      <c r="J17" s="239" t="s">
        <v>39</v>
      </c>
      <c r="K17" s="240"/>
      <c r="L17" s="242"/>
      <c r="N17" s="132">
        <f t="shared" ref="N17:N36" si="1">1+N16</f>
        <v>3</v>
      </c>
      <c r="O17" s="33" t="s">
        <v>71</v>
      </c>
      <c r="P17" s="33">
        <v>81.099999999999994</v>
      </c>
      <c r="Q17" s="33" t="s">
        <v>127</v>
      </c>
      <c r="R17" s="33" t="s">
        <v>128</v>
      </c>
      <c r="S17" s="33">
        <v>156.80000000000001</v>
      </c>
      <c r="T17" s="33" t="s">
        <v>112</v>
      </c>
      <c r="U17" s="33">
        <v>3</v>
      </c>
      <c r="V17" s="33">
        <v>1</v>
      </c>
      <c r="W17" s="140" t="s">
        <v>113</v>
      </c>
      <c r="X17" s="33" t="s">
        <v>114</v>
      </c>
      <c r="Y17" s="135"/>
      <c r="AA17" s="33">
        <f t="shared" si="0"/>
        <v>3</v>
      </c>
      <c r="AB17" s="33" t="s">
        <v>71</v>
      </c>
      <c r="AC17" s="33">
        <v>99.3</v>
      </c>
      <c r="AD17" s="33" t="s">
        <v>129</v>
      </c>
      <c r="AE17" s="33" t="s">
        <v>123</v>
      </c>
      <c r="AF17" s="33">
        <v>111.2</v>
      </c>
      <c r="AG17" s="33" t="s">
        <v>112</v>
      </c>
      <c r="AH17" s="33">
        <v>3</v>
      </c>
      <c r="AI17" s="33">
        <v>1</v>
      </c>
      <c r="AJ17" s="140" t="s">
        <v>113</v>
      </c>
      <c r="AK17" s="33" t="s">
        <v>114</v>
      </c>
      <c r="AL17" s="61"/>
      <c r="AN17" s="33">
        <f t="shared" ref="AN17:AN37" si="2">1+AN16</f>
        <v>3</v>
      </c>
      <c r="AO17" s="33" t="s">
        <v>71</v>
      </c>
      <c r="AP17" s="33">
        <v>180.6</v>
      </c>
      <c r="AQ17" s="33" t="s">
        <v>124</v>
      </c>
      <c r="AR17" s="33" t="s">
        <v>130</v>
      </c>
      <c r="AS17" s="33">
        <v>344.9</v>
      </c>
      <c r="AT17" s="33" t="s">
        <v>131</v>
      </c>
      <c r="AU17" s="33">
        <v>3</v>
      </c>
      <c r="AV17" s="33">
        <v>1</v>
      </c>
      <c r="AW17" s="140" t="s">
        <v>113</v>
      </c>
      <c r="AX17" s="33" t="s">
        <v>114</v>
      </c>
      <c r="AY17" s="61"/>
      <c r="BA17" s="33">
        <f t="shared" ref="BA17:BA18" si="3">1+BA16</f>
        <v>3</v>
      </c>
      <c r="BB17" s="33" t="s">
        <v>71</v>
      </c>
      <c r="BC17" s="33">
        <v>81.099999999999994</v>
      </c>
      <c r="BD17" s="33" t="s">
        <v>126</v>
      </c>
      <c r="BE17" s="33" t="s">
        <v>132</v>
      </c>
      <c r="BF17" s="33">
        <v>423</v>
      </c>
      <c r="BG17" s="33" t="s">
        <v>131</v>
      </c>
      <c r="BH17" s="33">
        <v>3</v>
      </c>
      <c r="BI17" s="33">
        <v>1</v>
      </c>
      <c r="BJ17" s="140" t="s">
        <v>113</v>
      </c>
      <c r="BK17" s="33" t="s">
        <v>114</v>
      </c>
      <c r="BL17" s="61"/>
    </row>
    <row r="18" spans="1:64" ht="37.5" customHeight="1">
      <c r="A18" s="230" t="s">
        <v>40</v>
      </c>
      <c r="B18" s="189"/>
      <c r="C18" s="272" t="s">
        <v>133</v>
      </c>
      <c r="D18" s="273"/>
      <c r="E18" s="273"/>
      <c r="F18" s="274"/>
      <c r="G18" s="234"/>
      <c r="H18" s="235"/>
      <c r="I18" s="236"/>
      <c r="J18" s="234"/>
      <c r="K18" s="235"/>
      <c r="L18" s="237"/>
      <c r="N18" s="132">
        <f t="shared" si="1"/>
        <v>4</v>
      </c>
      <c r="O18" s="33" t="s">
        <v>71</v>
      </c>
      <c r="P18" s="33">
        <v>56.7</v>
      </c>
      <c r="Q18" s="33" t="s">
        <v>128</v>
      </c>
      <c r="R18" s="33" t="s">
        <v>134</v>
      </c>
      <c r="S18" s="33">
        <v>108.9</v>
      </c>
      <c r="T18" s="33" t="s">
        <v>112</v>
      </c>
      <c r="U18" s="33">
        <v>3</v>
      </c>
      <c r="V18" s="33">
        <v>1</v>
      </c>
      <c r="W18" s="140" t="s">
        <v>113</v>
      </c>
      <c r="X18" s="33" t="s">
        <v>114</v>
      </c>
      <c r="Y18" s="135"/>
      <c r="AA18" s="33">
        <f t="shared" si="0"/>
        <v>4</v>
      </c>
      <c r="AB18" s="33" t="s">
        <v>71</v>
      </c>
      <c r="AC18" s="33">
        <v>56.7</v>
      </c>
      <c r="AD18" s="33" t="s">
        <v>123</v>
      </c>
      <c r="AE18" s="33" t="s">
        <v>135</v>
      </c>
      <c r="AF18" s="33">
        <v>107</v>
      </c>
      <c r="AG18" s="33" t="s">
        <v>112</v>
      </c>
      <c r="AH18" s="33">
        <v>3</v>
      </c>
      <c r="AI18" s="33">
        <v>1</v>
      </c>
      <c r="AJ18" s="140" t="s">
        <v>113</v>
      </c>
      <c r="AK18" s="33" t="s">
        <v>114</v>
      </c>
      <c r="AL18" s="61"/>
      <c r="AN18" s="33">
        <f t="shared" si="2"/>
        <v>4</v>
      </c>
      <c r="AO18" s="33" t="s">
        <v>71</v>
      </c>
      <c r="AP18" s="33">
        <v>180.6</v>
      </c>
      <c r="AQ18" s="33" t="s">
        <v>130</v>
      </c>
      <c r="AR18" s="33" t="s">
        <v>136</v>
      </c>
      <c r="AS18" s="33">
        <v>432.9</v>
      </c>
      <c r="AT18" s="33" t="s">
        <v>137</v>
      </c>
      <c r="AU18" s="33">
        <v>3</v>
      </c>
      <c r="AV18" s="33">
        <v>1</v>
      </c>
      <c r="AW18" s="140" t="s">
        <v>113</v>
      </c>
      <c r="AX18" s="33" t="s">
        <v>114</v>
      </c>
      <c r="AY18" s="61"/>
      <c r="BA18" s="33">
        <f t="shared" si="3"/>
        <v>4</v>
      </c>
      <c r="BB18" s="33" t="s">
        <v>71</v>
      </c>
      <c r="BC18" s="33">
        <v>56.7</v>
      </c>
      <c r="BD18" s="33" t="s">
        <v>138</v>
      </c>
      <c r="BE18" s="33" t="s">
        <v>139</v>
      </c>
      <c r="BF18" s="33">
        <v>98</v>
      </c>
      <c r="BG18" s="33" t="s">
        <v>137</v>
      </c>
      <c r="BH18" s="33">
        <v>3</v>
      </c>
      <c r="BI18" s="33">
        <v>1</v>
      </c>
      <c r="BJ18" s="140" t="s">
        <v>113</v>
      </c>
      <c r="BK18" s="33" t="s">
        <v>114</v>
      </c>
      <c r="BL18" s="61"/>
    </row>
    <row r="19" spans="1:64" ht="37.5" customHeight="1">
      <c r="A19" s="230" t="s">
        <v>41</v>
      </c>
      <c r="B19" s="189"/>
      <c r="C19" s="272" t="s">
        <v>140</v>
      </c>
      <c r="D19" s="273"/>
      <c r="E19" s="273"/>
      <c r="F19" s="274"/>
      <c r="G19" s="234"/>
      <c r="H19" s="235"/>
      <c r="I19" s="236"/>
      <c r="J19" s="234"/>
      <c r="K19" s="235"/>
      <c r="L19" s="237"/>
      <c r="N19" s="132">
        <f t="shared" si="1"/>
        <v>5</v>
      </c>
      <c r="O19" s="33" t="s">
        <v>71</v>
      </c>
      <c r="P19" s="33">
        <v>81.099999999999994</v>
      </c>
      <c r="Q19" s="33" t="s">
        <v>128</v>
      </c>
      <c r="R19" s="33" t="s">
        <v>141</v>
      </c>
      <c r="S19" s="33">
        <v>109.1</v>
      </c>
      <c r="T19" s="33" t="s">
        <v>112</v>
      </c>
      <c r="U19" s="33">
        <v>3</v>
      </c>
      <c r="V19" s="33">
        <v>1</v>
      </c>
      <c r="W19" s="140" t="s">
        <v>113</v>
      </c>
      <c r="X19" s="33" t="s">
        <v>114</v>
      </c>
      <c r="Y19" s="135"/>
      <c r="AA19" s="33">
        <f t="shared" si="0"/>
        <v>5</v>
      </c>
      <c r="AB19" s="33" t="s">
        <v>71</v>
      </c>
      <c r="AC19" s="33">
        <v>56.7</v>
      </c>
      <c r="AD19" s="33" t="s">
        <v>129</v>
      </c>
      <c r="AE19" s="33" t="s">
        <v>142</v>
      </c>
      <c r="AF19" s="33">
        <v>19</v>
      </c>
      <c r="AG19" s="33" t="s">
        <v>112</v>
      </c>
      <c r="AH19" s="33">
        <v>3</v>
      </c>
      <c r="AI19" s="33">
        <v>1</v>
      </c>
      <c r="AJ19" s="140" t="s">
        <v>113</v>
      </c>
      <c r="AK19" s="33" t="s">
        <v>114</v>
      </c>
      <c r="AL19" s="61"/>
      <c r="AN19" s="33">
        <f t="shared" si="2"/>
        <v>5</v>
      </c>
      <c r="AO19" s="33" t="s">
        <v>71</v>
      </c>
      <c r="AP19" s="33">
        <v>180.6</v>
      </c>
      <c r="AQ19" s="33" t="s">
        <v>124</v>
      </c>
      <c r="AR19" s="33" t="s">
        <v>143</v>
      </c>
      <c r="AS19" s="33">
        <v>68</v>
      </c>
      <c r="AT19" s="33" t="s">
        <v>144</v>
      </c>
      <c r="AU19" s="33">
        <v>3</v>
      </c>
      <c r="AV19" s="33">
        <v>1</v>
      </c>
      <c r="AW19" s="140" t="s">
        <v>113</v>
      </c>
      <c r="AX19" s="33" t="s">
        <v>114</v>
      </c>
      <c r="AY19" s="61"/>
      <c r="BA19" s="271" t="s">
        <v>86</v>
      </c>
      <c r="BB19" s="240"/>
      <c r="BC19" s="240"/>
      <c r="BD19" s="240"/>
      <c r="BE19" s="240"/>
      <c r="BF19" s="241"/>
      <c r="BG19" s="239" t="s">
        <v>87</v>
      </c>
      <c r="BH19" s="240"/>
      <c r="BI19" s="241"/>
      <c r="BJ19" s="239" t="s">
        <v>39</v>
      </c>
      <c r="BK19" s="240"/>
      <c r="BL19" s="242"/>
    </row>
    <row r="20" spans="1:64" ht="37.5" customHeight="1">
      <c r="A20" s="230" t="s">
        <v>42</v>
      </c>
      <c r="B20" s="189"/>
      <c r="C20" s="272"/>
      <c r="D20" s="273"/>
      <c r="E20" s="273"/>
      <c r="F20" s="274"/>
      <c r="G20" s="234"/>
      <c r="H20" s="235"/>
      <c r="I20" s="236"/>
      <c r="J20" s="234"/>
      <c r="K20" s="235"/>
      <c r="L20" s="237"/>
      <c r="N20" s="132">
        <f t="shared" si="1"/>
        <v>6</v>
      </c>
      <c r="O20" s="33" t="s">
        <v>71</v>
      </c>
      <c r="P20" s="33">
        <v>144.4</v>
      </c>
      <c r="Q20" s="33" t="s">
        <v>141</v>
      </c>
      <c r="R20" s="33" t="s">
        <v>84</v>
      </c>
      <c r="S20" s="33">
        <v>134.19999999999999</v>
      </c>
      <c r="T20" s="33" t="s">
        <v>112</v>
      </c>
      <c r="U20" s="33">
        <v>3</v>
      </c>
      <c r="V20" s="33">
        <v>1</v>
      </c>
      <c r="W20" s="140" t="s">
        <v>113</v>
      </c>
      <c r="X20" s="33" t="s">
        <v>114</v>
      </c>
      <c r="Y20" s="135"/>
      <c r="AA20" s="33">
        <f t="shared" si="0"/>
        <v>6</v>
      </c>
      <c r="AB20" s="33" t="s">
        <v>71</v>
      </c>
      <c r="AC20" s="33">
        <v>99.3</v>
      </c>
      <c r="AD20" s="33" t="s">
        <v>129</v>
      </c>
      <c r="AE20" s="33" t="s">
        <v>145</v>
      </c>
      <c r="AF20" s="33">
        <v>40</v>
      </c>
      <c r="AG20" s="33" t="s">
        <v>112</v>
      </c>
      <c r="AH20" s="33">
        <v>3</v>
      </c>
      <c r="AI20" s="33">
        <v>1</v>
      </c>
      <c r="AJ20" s="140" t="s">
        <v>113</v>
      </c>
      <c r="AK20" s="33" t="s">
        <v>114</v>
      </c>
      <c r="AL20" s="61"/>
      <c r="AN20" s="33">
        <f t="shared" si="2"/>
        <v>6</v>
      </c>
      <c r="AO20" s="33" t="s">
        <v>71</v>
      </c>
      <c r="AP20" s="33">
        <v>144.4</v>
      </c>
      <c r="AQ20" s="33" t="s">
        <v>143</v>
      </c>
      <c r="AR20" s="33" t="s">
        <v>146</v>
      </c>
      <c r="AS20" s="33">
        <v>50</v>
      </c>
      <c r="AT20" s="33" t="s">
        <v>147</v>
      </c>
      <c r="AU20" s="33">
        <v>3</v>
      </c>
      <c r="AV20" s="33">
        <v>1</v>
      </c>
      <c r="AW20" s="140" t="s">
        <v>113</v>
      </c>
      <c r="AX20" s="33" t="s">
        <v>114</v>
      </c>
      <c r="AY20" s="61"/>
      <c r="BA20" s="93" t="s">
        <v>40</v>
      </c>
      <c r="BB20" s="272" t="s">
        <v>133</v>
      </c>
      <c r="BC20" s="273"/>
      <c r="BD20" s="273"/>
      <c r="BE20" s="273"/>
      <c r="BF20" s="274"/>
      <c r="BG20" s="272"/>
      <c r="BH20" s="273"/>
      <c r="BI20" s="274"/>
      <c r="BJ20" s="272"/>
      <c r="BK20" s="273"/>
      <c r="BL20" s="275"/>
    </row>
    <row r="21" spans="1:64" ht="37.5" customHeight="1">
      <c r="A21" s="245" t="s">
        <v>43</v>
      </c>
      <c r="B21" s="246"/>
      <c r="C21" s="276">
        <v>44985</v>
      </c>
      <c r="D21" s="277"/>
      <c r="E21" s="277"/>
      <c r="F21" s="278"/>
      <c r="G21" s="250"/>
      <c r="H21" s="251"/>
      <c r="I21" s="252"/>
      <c r="J21" s="250"/>
      <c r="K21" s="251"/>
      <c r="L21" s="253"/>
      <c r="N21" s="132">
        <f t="shared" si="1"/>
        <v>7</v>
      </c>
      <c r="O21" s="33" t="s">
        <v>71</v>
      </c>
      <c r="P21" s="33">
        <v>144.4</v>
      </c>
      <c r="Q21" s="33" t="s">
        <v>84</v>
      </c>
      <c r="R21" s="33" t="s">
        <v>148</v>
      </c>
      <c r="S21" s="33">
        <v>136.80000000000001</v>
      </c>
      <c r="T21" s="33" t="s">
        <v>112</v>
      </c>
      <c r="U21" s="33">
        <v>3</v>
      </c>
      <c r="V21" s="33">
        <v>1</v>
      </c>
      <c r="W21" s="140" t="s">
        <v>113</v>
      </c>
      <c r="X21" s="33" t="s">
        <v>114</v>
      </c>
      <c r="Y21" s="135"/>
      <c r="AA21" s="33">
        <f t="shared" si="0"/>
        <v>7</v>
      </c>
      <c r="AB21" s="33" t="s">
        <v>71</v>
      </c>
      <c r="AC21" s="33">
        <v>56.7</v>
      </c>
      <c r="AD21" s="33" t="s">
        <v>149</v>
      </c>
      <c r="AE21" s="33" t="s">
        <v>150</v>
      </c>
      <c r="AF21" s="33">
        <v>43</v>
      </c>
      <c r="AG21" s="33" t="s">
        <v>112</v>
      </c>
      <c r="AH21" s="33">
        <v>3</v>
      </c>
      <c r="AI21" s="33">
        <v>1</v>
      </c>
      <c r="AJ21" s="140" t="s">
        <v>113</v>
      </c>
      <c r="AK21" s="33" t="s">
        <v>114</v>
      </c>
      <c r="AL21" s="61"/>
      <c r="AN21" s="33">
        <f t="shared" si="2"/>
        <v>7</v>
      </c>
      <c r="AO21" s="33" t="s">
        <v>71</v>
      </c>
      <c r="AP21" s="33">
        <v>144.4</v>
      </c>
      <c r="AQ21" s="33" t="s">
        <v>143</v>
      </c>
      <c r="AR21" s="33" t="s">
        <v>151</v>
      </c>
      <c r="AS21" s="33">
        <v>47</v>
      </c>
      <c r="AT21" s="33" t="s">
        <v>152</v>
      </c>
      <c r="AU21" s="33">
        <v>3</v>
      </c>
      <c r="AV21" s="33">
        <v>1</v>
      </c>
      <c r="AW21" s="140" t="s">
        <v>113</v>
      </c>
      <c r="AX21" s="33" t="s">
        <v>114</v>
      </c>
      <c r="AY21" s="61"/>
      <c r="BA21" s="93" t="s">
        <v>41</v>
      </c>
      <c r="BB21" s="272" t="s">
        <v>140</v>
      </c>
      <c r="BC21" s="273"/>
      <c r="BD21" s="273"/>
      <c r="BE21" s="273"/>
      <c r="BF21" s="274"/>
      <c r="BG21" s="272"/>
      <c r="BH21" s="273"/>
      <c r="BI21" s="274"/>
      <c r="BJ21" s="272"/>
      <c r="BK21" s="273"/>
      <c r="BL21" s="275"/>
    </row>
    <row r="22" spans="1:64" ht="37.5" customHeight="1">
      <c r="N22" s="132">
        <f t="shared" si="1"/>
        <v>8</v>
      </c>
      <c r="O22" s="33" t="s">
        <v>71</v>
      </c>
      <c r="P22" s="33">
        <v>144.4</v>
      </c>
      <c r="Q22" s="33" t="s">
        <v>148</v>
      </c>
      <c r="R22" s="33" t="s">
        <v>153</v>
      </c>
      <c r="S22" s="33">
        <v>173</v>
      </c>
      <c r="T22" s="33" t="s">
        <v>112</v>
      </c>
      <c r="U22" s="33">
        <v>3</v>
      </c>
      <c r="V22" s="33">
        <v>1</v>
      </c>
      <c r="W22" s="140" t="s">
        <v>113</v>
      </c>
      <c r="X22" s="33" t="s">
        <v>114</v>
      </c>
      <c r="Y22" s="135"/>
      <c r="AA22" s="33">
        <f t="shared" si="0"/>
        <v>8</v>
      </c>
      <c r="AB22" s="33" t="s">
        <v>71</v>
      </c>
      <c r="AC22" s="33">
        <v>56.7</v>
      </c>
      <c r="AD22" s="33" t="s">
        <v>154</v>
      </c>
      <c r="AE22" s="33" t="s">
        <v>155</v>
      </c>
      <c r="AF22" s="33">
        <v>84.9</v>
      </c>
      <c r="AG22" s="33" t="s">
        <v>112</v>
      </c>
      <c r="AH22" s="33">
        <v>3</v>
      </c>
      <c r="AI22" s="33">
        <v>1</v>
      </c>
      <c r="AJ22" s="140" t="s">
        <v>113</v>
      </c>
      <c r="AK22" s="33" t="s">
        <v>114</v>
      </c>
      <c r="AL22" s="61"/>
      <c r="AN22" s="33">
        <f t="shared" si="2"/>
        <v>8</v>
      </c>
      <c r="AO22" s="33" t="s">
        <v>71</v>
      </c>
      <c r="AP22" s="33">
        <v>99.3</v>
      </c>
      <c r="AQ22" s="33" t="s">
        <v>146</v>
      </c>
      <c r="AR22" s="33" t="s">
        <v>156</v>
      </c>
      <c r="AS22" s="33">
        <v>39</v>
      </c>
      <c r="AT22" s="33" t="s">
        <v>157</v>
      </c>
      <c r="AU22" s="33">
        <v>3</v>
      </c>
      <c r="AV22" s="33">
        <v>1</v>
      </c>
      <c r="AW22" s="140" t="s">
        <v>113</v>
      </c>
      <c r="AX22" s="33" t="s">
        <v>114</v>
      </c>
      <c r="AY22" s="61"/>
      <c r="BA22" s="93" t="s">
        <v>42</v>
      </c>
      <c r="BB22" s="262"/>
      <c r="BC22" s="263"/>
      <c r="BD22" s="263"/>
      <c r="BE22" s="263"/>
      <c r="BF22" s="264"/>
      <c r="BG22" s="272"/>
      <c r="BH22" s="273"/>
      <c r="BI22" s="274"/>
      <c r="BJ22" s="272"/>
      <c r="BK22" s="273"/>
      <c r="BL22" s="275"/>
    </row>
    <row r="23" spans="1:64" ht="37.5" customHeight="1">
      <c r="N23" s="132">
        <f t="shared" si="1"/>
        <v>9</v>
      </c>
      <c r="O23" s="33" t="s">
        <v>71</v>
      </c>
      <c r="P23" s="33">
        <v>144.4</v>
      </c>
      <c r="Q23" s="33" t="s">
        <v>153</v>
      </c>
      <c r="R23" s="33" t="s">
        <v>158</v>
      </c>
      <c r="S23" s="33">
        <v>196</v>
      </c>
      <c r="T23" s="33" t="s">
        <v>112</v>
      </c>
      <c r="U23" s="33">
        <v>3</v>
      </c>
      <c r="V23" s="33">
        <v>1</v>
      </c>
      <c r="W23" s="140" t="s">
        <v>113</v>
      </c>
      <c r="X23" s="33" t="s">
        <v>114</v>
      </c>
      <c r="Y23" s="135"/>
      <c r="AA23" s="33">
        <f t="shared" si="0"/>
        <v>9</v>
      </c>
      <c r="AB23" s="33" t="s">
        <v>71</v>
      </c>
      <c r="AC23" s="33">
        <v>99.3</v>
      </c>
      <c r="AD23" s="33" t="s">
        <v>154</v>
      </c>
      <c r="AE23" s="33" t="s">
        <v>119</v>
      </c>
      <c r="AF23" s="33">
        <v>13.8</v>
      </c>
      <c r="AG23" s="33" t="s">
        <v>112</v>
      </c>
      <c r="AH23" s="33">
        <v>3</v>
      </c>
      <c r="AI23" s="33">
        <v>1</v>
      </c>
      <c r="AJ23" s="140" t="s">
        <v>113</v>
      </c>
      <c r="AK23" s="33" t="s">
        <v>114</v>
      </c>
      <c r="AL23" s="61"/>
      <c r="AN23" s="33">
        <f t="shared" si="2"/>
        <v>9</v>
      </c>
      <c r="AO23" s="33" t="s">
        <v>71</v>
      </c>
      <c r="AP23" s="33">
        <v>99.3</v>
      </c>
      <c r="AQ23" s="33" t="s">
        <v>156</v>
      </c>
      <c r="AR23" s="33" t="s">
        <v>159</v>
      </c>
      <c r="AS23" s="33">
        <v>32</v>
      </c>
      <c r="AT23" s="33" t="s">
        <v>160</v>
      </c>
      <c r="AU23" s="33">
        <v>3</v>
      </c>
      <c r="AV23" s="33">
        <v>1</v>
      </c>
      <c r="AW23" s="140" t="s">
        <v>113</v>
      </c>
      <c r="AX23" s="33" t="s">
        <v>114</v>
      </c>
      <c r="AY23" s="61"/>
      <c r="BA23" s="189" t="s">
        <v>43</v>
      </c>
      <c r="BB23" s="189"/>
      <c r="BC23" s="268"/>
      <c r="BD23" s="269"/>
      <c r="BE23" s="269"/>
      <c r="BF23" s="269"/>
      <c r="BG23" s="270"/>
      <c r="BH23" s="270"/>
      <c r="BI23" s="270"/>
      <c r="BJ23" s="270"/>
      <c r="BK23" s="270"/>
      <c r="BL23" s="270"/>
    </row>
    <row r="24" spans="1:64" ht="37.5" customHeight="1">
      <c r="N24" s="132">
        <f t="shared" si="1"/>
        <v>10</v>
      </c>
      <c r="O24" s="33" t="s">
        <v>71</v>
      </c>
      <c r="P24" s="33">
        <v>56.7</v>
      </c>
      <c r="Q24" s="33" t="s">
        <v>158</v>
      </c>
      <c r="R24" s="33" t="s">
        <v>83</v>
      </c>
      <c r="S24" s="33">
        <v>23.7</v>
      </c>
      <c r="T24" s="33" t="s">
        <v>112</v>
      </c>
      <c r="U24" s="33">
        <v>3</v>
      </c>
      <c r="V24" s="33">
        <v>1</v>
      </c>
      <c r="W24" s="140" t="s">
        <v>113</v>
      </c>
      <c r="X24" s="33" t="s">
        <v>114</v>
      </c>
      <c r="Y24" s="135"/>
      <c r="AA24" s="33">
        <f t="shared" si="0"/>
        <v>10</v>
      </c>
      <c r="AB24" s="33" t="s">
        <v>71</v>
      </c>
      <c r="AC24" s="33">
        <v>180.6</v>
      </c>
      <c r="AD24" s="33" t="s">
        <v>119</v>
      </c>
      <c r="AE24" s="33" t="s">
        <v>161</v>
      </c>
      <c r="AF24" s="33">
        <v>362.9</v>
      </c>
      <c r="AG24" s="33" t="s">
        <v>112</v>
      </c>
      <c r="AH24" s="33">
        <v>3</v>
      </c>
      <c r="AI24" s="33">
        <v>1</v>
      </c>
      <c r="AJ24" s="140" t="s">
        <v>113</v>
      </c>
      <c r="AK24" s="33" t="s">
        <v>114</v>
      </c>
      <c r="AL24" s="61"/>
      <c r="AN24" s="33">
        <f t="shared" si="2"/>
        <v>10</v>
      </c>
      <c r="AO24" s="33" t="s">
        <v>71</v>
      </c>
      <c r="AP24" s="33">
        <v>99.3</v>
      </c>
      <c r="AQ24" s="33" t="s">
        <v>159</v>
      </c>
      <c r="AR24" s="33" t="s">
        <v>162</v>
      </c>
      <c r="AS24" s="33">
        <v>28</v>
      </c>
      <c r="AT24" s="33" t="s">
        <v>163</v>
      </c>
      <c r="AU24" s="33">
        <v>3</v>
      </c>
      <c r="AV24" s="33">
        <v>1</v>
      </c>
      <c r="AW24" s="140" t="s">
        <v>113</v>
      </c>
      <c r="AX24" s="33" t="s">
        <v>114</v>
      </c>
      <c r="AY24" s="61"/>
    </row>
    <row r="25" spans="1:64" ht="37.5" customHeight="1">
      <c r="N25" s="132">
        <f t="shared" si="1"/>
        <v>11</v>
      </c>
      <c r="O25" s="33" t="s">
        <v>71</v>
      </c>
      <c r="P25" s="33">
        <v>144.4</v>
      </c>
      <c r="Q25" s="33" t="s">
        <v>158</v>
      </c>
      <c r="R25" s="33" t="s">
        <v>164</v>
      </c>
      <c r="S25" s="33">
        <v>47</v>
      </c>
      <c r="T25" s="33" t="s">
        <v>112</v>
      </c>
      <c r="U25" s="33">
        <v>3</v>
      </c>
      <c r="V25" s="33">
        <v>1</v>
      </c>
      <c r="W25" s="140" t="s">
        <v>113</v>
      </c>
      <c r="X25" s="33" t="s">
        <v>114</v>
      </c>
      <c r="Y25" s="135"/>
      <c r="AA25" s="33">
        <f t="shared" si="0"/>
        <v>11</v>
      </c>
      <c r="AB25" s="33" t="s">
        <v>71</v>
      </c>
      <c r="AC25" s="33">
        <v>180.6</v>
      </c>
      <c r="AD25" s="33" t="s">
        <v>161</v>
      </c>
      <c r="AE25" s="33" t="s">
        <v>79</v>
      </c>
      <c r="AF25" s="33">
        <v>541.1</v>
      </c>
      <c r="AG25" s="33" t="s">
        <v>112</v>
      </c>
      <c r="AH25" s="33">
        <v>3</v>
      </c>
      <c r="AI25" s="33">
        <v>1</v>
      </c>
      <c r="AJ25" s="140" t="s">
        <v>113</v>
      </c>
      <c r="AK25" s="33" t="s">
        <v>114</v>
      </c>
      <c r="AL25" s="61"/>
      <c r="AN25" s="33">
        <f t="shared" si="2"/>
        <v>11</v>
      </c>
      <c r="AO25" s="33" t="s">
        <v>71</v>
      </c>
      <c r="AP25" s="33">
        <v>64.7</v>
      </c>
      <c r="AQ25" s="33" t="s">
        <v>146</v>
      </c>
      <c r="AR25" s="33" t="s">
        <v>165</v>
      </c>
      <c r="AS25" s="33">
        <v>64</v>
      </c>
      <c r="AT25" s="33" t="s">
        <v>166</v>
      </c>
      <c r="AU25" s="33">
        <v>3</v>
      </c>
      <c r="AV25" s="33">
        <v>1</v>
      </c>
      <c r="AW25" s="140" t="s">
        <v>113</v>
      </c>
      <c r="AX25" s="33" t="s">
        <v>114</v>
      </c>
      <c r="AY25" s="61"/>
    </row>
    <row r="26" spans="1:64" ht="37.5" customHeight="1">
      <c r="N26" s="132">
        <f t="shared" si="1"/>
        <v>12</v>
      </c>
      <c r="O26" s="33" t="s">
        <v>71</v>
      </c>
      <c r="P26" s="33">
        <v>56.7</v>
      </c>
      <c r="Q26" s="33" t="s">
        <v>164</v>
      </c>
      <c r="R26" s="33" t="s">
        <v>167</v>
      </c>
      <c r="S26" s="33">
        <v>93.3</v>
      </c>
      <c r="T26" s="33" t="s">
        <v>112</v>
      </c>
      <c r="U26" s="33">
        <v>3</v>
      </c>
      <c r="V26" s="33">
        <v>1</v>
      </c>
      <c r="W26" s="140" t="s">
        <v>113</v>
      </c>
      <c r="X26" s="33" t="s">
        <v>114</v>
      </c>
      <c r="Y26" s="135"/>
      <c r="AA26" s="33">
        <f t="shared" ref="AA26:AA52" si="4">1+AA25</f>
        <v>12</v>
      </c>
      <c r="AB26" s="33" t="s">
        <v>71</v>
      </c>
      <c r="AC26" s="33">
        <v>56.7</v>
      </c>
      <c r="AD26" s="33" t="s">
        <v>168</v>
      </c>
      <c r="AE26" s="33" t="s">
        <v>134</v>
      </c>
      <c r="AF26" s="33">
        <v>115.2</v>
      </c>
      <c r="AG26" s="33" t="s">
        <v>112</v>
      </c>
      <c r="AH26" s="33">
        <v>3</v>
      </c>
      <c r="AI26" s="33">
        <v>1</v>
      </c>
      <c r="AJ26" s="140" t="s">
        <v>113</v>
      </c>
      <c r="AK26" s="33" t="s">
        <v>114</v>
      </c>
      <c r="AL26" s="61"/>
      <c r="AN26" s="33">
        <f t="shared" si="2"/>
        <v>12</v>
      </c>
      <c r="AO26" s="33" t="s">
        <v>71</v>
      </c>
      <c r="AP26" s="33">
        <v>64.7</v>
      </c>
      <c r="AQ26" s="33" t="s">
        <v>169</v>
      </c>
      <c r="AR26" s="33" t="s">
        <v>165</v>
      </c>
      <c r="AS26" s="33">
        <v>70</v>
      </c>
      <c r="AT26" s="33" t="s">
        <v>170</v>
      </c>
      <c r="AU26" s="33">
        <v>3</v>
      </c>
      <c r="AV26" s="33">
        <v>1</v>
      </c>
      <c r="AW26" s="140" t="s">
        <v>113</v>
      </c>
      <c r="AX26" s="33" t="s">
        <v>114</v>
      </c>
      <c r="AY26" s="61"/>
    </row>
    <row r="27" spans="1:64" ht="37.5" customHeight="1">
      <c r="N27" s="132">
        <f t="shared" si="1"/>
        <v>13</v>
      </c>
      <c r="O27" s="33" t="s">
        <v>71</v>
      </c>
      <c r="P27" s="33">
        <v>144.4</v>
      </c>
      <c r="Q27" s="33" t="s">
        <v>164</v>
      </c>
      <c r="R27" s="33" t="s">
        <v>171</v>
      </c>
      <c r="S27" s="33">
        <v>437</v>
      </c>
      <c r="T27" s="33" t="s">
        <v>112</v>
      </c>
      <c r="U27" s="33">
        <v>3</v>
      </c>
      <c r="V27" s="33">
        <v>1</v>
      </c>
      <c r="W27" s="140" t="s">
        <v>113</v>
      </c>
      <c r="X27" s="33" t="s">
        <v>114</v>
      </c>
      <c r="Y27" s="135"/>
      <c r="AA27" s="33">
        <f t="shared" si="4"/>
        <v>13</v>
      </c>
      <c r="AB27" s="33" t="s">
        <v>71</v>
      </c>
      <c r="AC27" s="33">
        <v>67.400000000000006</v>
      </c>
      <c r="AD27" s="33" t="s">
        <v>81</v>
      </c>
      <c r="AE27" s="33" t="s">
        <v>172</v>
      </c>
      <c r="AF27" s="131">
        <v>60.2</v>
      </c>
      <c r="AG27" s="33" t="s">
        <v>112</v>
      </c>
      <c r="AH27" s="33">
        <v>3</v>
      </c>
      <c r="AI27" s="33">
        <v>1</v>
      </c>
      <c r="AJ27" s="140" t="s">
        <v>113</v>
      </c>
      <c r="AK27" s="33" t="s">
        <v>114</v>
      </c>
      <c r="AL27" s="61"/>
      <c r="AN27" s="33">
        <f t="shared" si="2"/>
        <v>13</v>
      </c>
      <c r="AO27" s="33" t="s">
        <v>71</v>
      </c>
      <c r="AP27" s="33">
        <v>64.7</v>
      </c>
      <c r="AQ27" s="33" t="s">
        <v>151</v>
      </c>
      <c r="AR27" s="33" t="s">
        <v>173</v>
      </c>
      <c r="AS27" s="33">
        <v>64</v>
      </c>
      <c r="AT27" s="33" t="s">
        <v>174</v>
      </c>
      <c r="AU27" s="33">
        <v>3</v>
      </c>
      <c r="AV27" s="33">
        <v>1</v>
      </c>
      <c r="AW27" s="140" t="s">
        <v>113</v>
      </c>
      <c r="AX27" s="33" t="s">
        <v>114</v>
      </c>
      <c r="AY27" s="61"/>
    </row>
    <row r="28" spans="1:64" ht="37.5" customHeight="1">
      <c r="N28" s="132">
        <f t="shared" si="1"/>
        <v>14</v>
      </c>
      <c r="O28" s="33" t="s">
        <v>71</v>
      </c>
      <c r="P28" s="33">
        <v>144.4</v>
      </c>
      <c r="Q28" s="33" t="s">
        <v>171</v>
      </c>
      <c r="R28" s="33" t="s">
        <v>175</v>
      </c>
      <c r="S28" s="33">
        <v>26.2</v>
      </c>
      <c r="T28" s="33" t="s">
        <v>112</v>
      </c>
      <c r="U28" s="33">
        <v>3</v>
      </c>
      <c r="V28" s="33">
        <v>1</v>
      </c>
      <c r="W28" s="140" t="s">
        <v>113</v>
      </c>
      <c r="X28" s="33" t="s">
        <v>114</v>
      </c>
      <c r="Y28" s="135"/>
      <c r="AA28" s="33">
        <f t="shared" si="4"/>
        <v>14</v>
      </c>
      <c r="AB28" s="33" t="s">
        <v>71</v>
      </c>
      <c r="AC28" s="33">
        <v>56.7</v>
      </c>
      <c r="AD28" s="33" t="s">
        <v>81</v>
      </c>
      <c r="AE28" s="33" t="s">
        <v>176</v>
      </c>
      <c r="AF28" s="33">
        <v>37</v>
      </c>
      <c r="AG28" s="33" t="s">
        <v>112</v>
      </c>
      <c r="AH28" s="33">
        <v>3</v>
      </c>
      <c r="AI28" s="33">
        <v>1</v>
      </c>
      <c r="AJ28" s="140" t="s">
        <v>113</v>
      </c>
      <c r="AK28" s="33" t="s">
        <v>114</v>
      </c>
      <c r="AL28" s="61"/>
      <c r="AN28" s="33">
        <f t="shared" si="2"/>
        <v>14</v>
      </c>
      <c r="AO28" s="33" t="s">
        <v>71</v>
      </c>
      <c r="AP28" s="33">
        <v>64.7</v>
      </c>
      <c r="AQ28" s="33" t="s">
        <v>173</v>
      </c>
      <c r="AR28" s="33" t="s">
        <v>177</v>
      </c>
      <c r="AS28" s="33">
        <v>35.6</v>
      </c>
      <c r="AT28" s="33" t="s">
        <v>178</v>
      </c>
      <c r="AU28" s="33">
        <v>3</v>
      </c>
      <c r="AV28" s="33">
        <v>1</v>
      </c>
      <c r="AW28" s="140" t="s">
        <v>113</v>
      </c>
      <c r="AX28" s="33" t="s">
        <v>114</v>
      </c>
      <c r="AY28" s="61"/>
    </row>
    <row r="29" spans="1:64" ht="37.5" customHeight="1">
      <c r="N29" s="132">
        <f t="shared" si="1"/>
        <v>15</v>
      </c>
      <c r="O29" s="33" t="s">
        <v>71</v>
      </c>
      <c r="P29" s="33">
        <v>56.7</v>
      </c>
      <c r="Q29" s="33" t="s">
        <v>175</v>
      </c>
      <c r="R29" s="33" t="s">
        <v>179</v>
      </c>
      <c r="S29" s="33">
        <v>22</v>
      </c>
      <c r="T29" s="33" t="s">
        <v>112</v>
      </c>
      <c r="U29" s="33">
        <v>3</v>
      </c>
      <c r="V29" s="33">
        <v>1</v>
      </c>
      <c r="W29" s="140" t="s">
        <v>113</v>
      </c>
      <c r="X29" s="33" t="s">
        <v>114</v>
      </c>
      <c r="Y29" s="135"/>
      <c r="AA29" s="33">
        <f t="shared" si="4"/>
        <v>15</v>
      </c>
      <c r="AB29" s="33" t="s">
        <v>71</v>
      </c>
      <c r="AC29" s="33">
        <v>56.7</v>
      </c>
      <c r="AD29" s="33" t="s">
        <v>172</v>
      </c>
      <c r="AE29" s="33" t="s">
        <v>180</v>
      </c>
      <c r="AF29" s="33">
        <v>45.4</v>
      </c>
      <c r="AG29" s="33" t="s">
        <v>112</v>
      </c>
      <c r="AH29" s="33">
        <v>3</v>
      </c>
      <c r="AI29" s="33">
        <v>1</v>
      </c>
      <c r="AJ29" s="140" t="s">
        <v>113</v>
      </c>
      <c r="AK29" s="33" t="s">
        <v>114</v>
      </c>
      <c r="AL29" s="61"/>
      <c r="AN29" s="33">
        <f t="shared" si="2"/>
        <v>15</v>
      </c>
      <c r="AO29" s="33" t="s">
        <v>71</v>
      </c>
      <c r="AP29" s="33">
        <v>64.7</v>
      </c>
      <c r="AQ29" s="33" t="s">
        <v>177</v>
      </c>
      <c r="AR29" s="33" t="s">
        <v>181</v>
      </c>
      <c r="AS29" s="33">
        <v>16</v>
      </c>
      <c r="AT29" s="33" t="s">
        <v>182</v>
      </c>
      <c r="AU29" s="33">
        <v>3</v>
      </c>
      <c r="AV29" s="33">
        <v>1</v>
      </c>
      <c r="AW29" s="140" t="s">
        <v>113</v>
      </c>
      <c r="AX29" s="33" t="s">
        <v>114</v>
      </c>
      <c r="AY29" s="61"/>
    </row>
    <row r="30" spans="1:64" ht="37.5" customHeight="1">
      <c r="N30" s="132">
        <f t="shared" si="1"/>
        <v>16</v>
      </c>
      <c r="O30" s="33" t="s">
        <v>71</v>
      </c>
      <c r="P30" s="33">
        <v>144.4</v>
      </c>
      <c r="Q30" s="33" t="s">
        <v>175</v>
      </c>
      <c r="R30" s="33" t="s">
        <v>183</v>
      </c>
      <c r="S30" s="33">
        <v>67.5</v>
      </c>
      <c r="T30" s="33" t="s">
        <v>112</v>
      </c>
      <c r="U30" s="33">
        <v>3</v>
      </c>
      <c r="V30" s="33">
        <v>1</v>
      </c>
      <c r="W30" s="140" t="s">
        <v>113</v>
      </c>
      <c r="X30" s="33" t="s">
        <v>114</v>
      </c>
      <c r="Y30" s="135"/>
      <c r="AA30" s="33">
        <f t="shared" si="4"/>
        <v>16</v>
      </c>
      <c r="AB30" s="33" t="s">
        <v>71</v>
      </c>
      <c r="AC30" s="33">
        <v>81.099999999999994</v>
      </c>
      <c r="AD30" s="33" t="s">
        <v>172</v>
      </c>
      <c r="AE30" s="33" t="s">
        <v>184</v>
      </c>
      <c r="AF30" s="33">
        <v>178.7</v>
      </c>
      <c r="AG30" s="33" t="s">
        <v>112</v>
      </c>
      <c r="AH30" s="33">
        <v>3</v>
      </c>
      <c r="AI30" s="33">
        <v>1</v>
      </c>
      <c r="AJ30" s="140" t="s">
        <v>113</v>
      </c>
      <c r="AK30" s="33" t="s">
        <v>114</v>
      </c>
      <c r="AL30" s="61"/>
      <c r="AN30" s="33">
        <f t="shared" si="2"/>
        <v>16</v>
      </c>
      <c r="AO30" s="33" t="s">
        <v>71</v>
      </c>
      <c r="AP30" s="33">
        <v>64.7</v>
      </c>
      <c r="AQ30" s="33" t="s">
        <v>185</v>
      </c>
      <c r="AR30" s="33" t="s">
        <v>177</v>
      </c>
      <c r="AS30" s="33">
        <v>41.1</v>
      </c>
      <c r="AT30" s="33" t="s">
        <v>186</v>
      </c>
      <c r="AU30" s="33">
        <v>3</v>
      </c>
      <c r="AV30" s="33">
        <v>1</v>
      </c>
      <c r="AW30" s="140" t="s">
        <v>113</v>
      </c>
      <c r="AX30" s="33" t="s">
        <v>114</v>
      </c>
      <c r="AY30" s="61"/>
    </row>
    <row r="31" spans="1:64" ht="37.5" customHeight="1">
      <c r="N31" s="132">
        <f t="shared" si="1"/>
        <v>17</v>
      </c>
      <c r="O31" s="33" t="s">
        <v>71</v>
      </c>
      <c r="P31" s="33">
        <v>56.7</v>
      </c>
      <c r="Q31" s="33" t="s">
        <v>183</v>
      </c>
      <c r="R31" s="33" t="s">
        <v>187</v>
      </c>
      <c r="S31" s="33">
        <v>50.1</v>
      </c>
      <c r="T31" s="33" t="s">
        <v>112</v>
      </c>
      <c r="U31" s="33">
        <v>3</v>
      </c>
      <c r="V31" s="33">
        <v>1</v>
      </c>
      <c r="W31" s="140" t="s">
        <v>113</v>
      </c>
      <c r="X31" s="33" t="s">
        <v>114</v>
      </c>
      <c r="Y31" s="135"/>
      <c r="AA31" s="33">
        <f t="shared" si="4"/>
        <v>17</v>
      </c>
      <c r="AB31" s="33" t="s">
        <v>71</v>
      </c>
      <c r="AC31" s="33">
        <v>81.099999999999994</v>
      </c>
      <c r="AD31" s="33" t="s">
        <v>184</v>
      </c>
      <c r="AE31" s="33" t="s">
        <v>188</v>
      </c>
      <c r="AF31" s="33">
        <v>27.8</v>
      </c>
      <c r="AG31" s="33" t="s">
        <v>112</v>
      </c>
      <c r="AH31" s="33">
        <v>3</v>
      </c>
      <c r="AI31" s="33">
        <v>1</v>
      </c>
      <c r="AJ31" s="140" t="s">
        <v>113</v>
      </c>
      <c r="AK31" s="33" t="s">
        <v>114</v>
      </c>
      <c r="AL31" s="61"/>
      <c r="AN31" s="33">
        <f t="shared" si="2"/>
        <v>17</v>
      </c>
      <c r="AO31" s="33" t="s">
        <v>71</v>
      </c>
      <c r="AP31" s="33">
        <v>56.7</v>
      </c>
      <c r="AQ31" s="33" t="s">
        <v>165</v>
      </c>
      <c r="AR31" s="33" t="s">
        <v>162</v>
      </c>
      <c r="AS31" s="33">
        <v>81</v>
      </c>
      <c r="AT31" s="33" t="s">
        <v>189</v>
      </c>
      <c r="AU31" s="33">
        <v>3</v>
      </c>
      <c r="AV31" s="33">
        <v>1</v>
      </c>
      <c r="AW31" s="140" t="s">
        <v>113</v>
      </c>
      <c r="AX31" s="33" t="s">
        <v>114</v>
      </c>
      <c r="AY31" s="61"/>
    </row>
    <row r="32" spans="1:64" ht="37.5" customHeight="1">
      <c r="N32" s="132">
        <f t="shared" si="1"/>
        <v>18</v>
      </c>
      <c r="O32" s="33" t="s">
        <v>71</v>
      </c>
      <c r="P32" s="33">
        <v>144.4</v>
      </c>
      <c r="Q32" s="33" t="s">
        <v>183</v>
      </c>
      <c r="R32" s="33" t="s">
        <v>190</v>
      </c>
      <c r="S32" s="33">
        <v>33.1</v>
      </c>
      <c r="T32" s="33" t="s">
        <v>112</v>
      </c>
      <c r="U32" s="33">
        <v>3</v>
      </c>
      <c r="V32" s="33">
        <v>1</v>
      </c>
      <c r="W32" s="140" t="s">
        <v>113</v>
      </c>
      <c r="X32" s="33" t="s">
        <v>114</v>
      </c>
      <c r="Y32" s="135"/>
      <c r="AA32" s="33">
        <f t="shared" si="4"/>
        <v>18</v>
      </c>
      <c r="AB32" s="33" t="s">
        <v>71</v>
      </c>
      <c r="AC32" s="33">
        <v>144.4</v>
      </c>
      <c r="AD32" s="33" t="s">
        <v>188</v>
      </c>
      <c r="AE32" s="33" t="s">
        <v>191</v>
      </c>
      <c r="AF32" s="33">
        <v>341.2</v>
      </c>
      <c r="AG32" s="33" t="s">
        <v>112</v>
      </c>
      <c r="AH32" s="33">
        <v>3</v>
      </c>
      <c r="AI32" s="33">
        <v>1</v>
      </c>
      <c r="AJ32" s="140" t="s">
        <v>113</v>
      </c>
      <c r="AK32" s="33" t="s">
        <v>114</v>
      </c>
      <c r="AL32" s="61"/>
      <c r="AN32" s="33">
        <f t="shared" si="2"/>
        <v>18</v>
      </c>
      <c r="AO32" s="33" t="s">
        <v>71</v>
      </c>
      <c r="AP32" s="33">
        <v>56.7</v>
      </c>
      <c r="AQ32" s="33" t="s">
        <v>159</v>
      </c>
      <c r="AR32" s="33" t="s">
        <v>192</v>
      </c>
      <c r="AS32" s="33">
        <v>22.5</v>
      </c>
      <c r="AT32" s="33" t="s">
        <v>193</v>
      </c>
      <c r="AU32" s="33">
        <v>3</v>
      </c>
      <c r="AV32" s="33">
        <v>1</v>
      </c>
      <c r="AW32" s="140" t="s">
        <v>113</v>
      </c>
      <c r="AX32" s="33" t="s">
        <v>114</v>
      </c>
      <c r="AY32" s="61"/>
    </row>
    <row r="33" spans="14:51" ht="37.5" customHeight="1">
      <c r="N33" s="132">
        <f t="shared" si="1"/>
        <v>19</v>
      </c>
      <c r="O33" s="33" t="s">
        <v>71</v>
      </c>
      <c r="P33" s="33">
        <v>56.7</v>
      </c>
      <c r="Q33" s="33" t="s">
        <v>190</v>
      </c>
      <c r="R33" s="33" t="s">
        <v>194</v>
      </c>
      <c r="S33" s="33">
        <v>35.200000000000003</v>
      </c>
      <c r="T33" s="33" t="s">
        <v>112</v>
      </c>
      <c r="U33" s="33">
        <v>3</v>
      </c>
      <c r="V33" s="33">
        <v>1</v>
      </c>
      <c r="W33" s="140" t="s">
        <v>113</v>
      </c>
      <c r="X33" s="33" t="s">
        <v>114</v>
      </c>
      <c r="Y33" s="135"/>
      <c r="AA33" s="33">
        <f t="shared" si="4"/>
        <v>19</v>
      </c>
      <c r="AB33" s="33" t="s">
        <v>71</v>
      </c>
      <c r="AC33" s="33">
        <v>144.4</v>
      </c>
      <c r="AD33" s="33" t="s">
        <v>191</v>
      </c>
      <c r="AE33" s="33" t="s">
        <v>195</v>
      </c>
      <c r="AF33" s="33">
        <v>283.89999999999998</v>
      </c>
      <c r="AG33" s="33" t="s">
        <v>112</v>
      </c>
      <c r="AH33" s="33">
        <v>3</v>
      </c>
      <c r="AI33" s="33">
        <v>1</v>
      </c>
      <c r="AJ33" s="140" t="s">
        <v>113</v>
      </c>
      <c r="AK33" s="33" t="s">
        <v>114</v>
      </c>
      <c r="AL33" s="61"/>
      <c r="AN33" s="33">
        <f t="shared" si="2"/>
        <v>19</v>
      </c>
      <c r="AO33" s="33" t="s">
        <v>71</v>
      </c>
      <c r="AP33" s="33">
        <v>56.7</v>
      </c>
      <c r="AQ33" s="33" t="s">
        <v>118</v>
      </c>
      <c r="AR33" s="33" t="s">
        <v>196</v>
      </c>
      <c r="AS33" s="33">
        <v>167.2</v>
      </c>
      <c r="AT33" s="33" t="s">
        <v>197</v>
      </c>
      <c r="AU33" s="33">
        <v>3</v>
      </c>
      <c r="AV33" s="33">
        <v>1</v>
      </c>
      <c r="AW33" s="140" t="s">
        <v>113</v>
      </c>
      <c r="AX33" s="33" t="s">
        <v>114</v>
      </c>
      <c r="AY33" s="61"/>
    </row>
    <row r="34" spans="14:51" ht="37.5" customHeight="1">
      <c r="N34" s="132">
        <f t="shared" si="1"/>
        <v>20</v>
      </c>
      <c r="O34" s="33" t="s">
        <v>71</v>
      </c>
      <c r="P34" s="33">
        <v>144.4</v>
      </c>
      <c r="Q34" s="33" t="s">
        <v>190</v>
      </c>
      <c r="R34" s="33" t="s">
        <v>198</v>
      </c>
      <c r="S34" s="33">
        <v>31.7</v>
      </c>
      <c r="T34" s="33" t="s">
        <v>112</v>
      </c>
      <c r="U34" s="33">
        <v>3</v>
      </c>
      <c r="V34" s="33">
        <v>1</v>
      </c>
      <c r="W34" s="140" t="s">
        <v>113</v>
      </c>
      <c r="X34" s="33" t="s">
        <v>114</v>
      </c>
      <c r="Y34" s="135"/>
      <c r="AA34" s="33">
        <f t="shared" si="4"/>
        <v>20</v>
      </c>
      <c r="AB34" s="33" t="s">
        <v>71</v>
      </c>
      <c r="AC34" s="33">
        <v>81.099999999999994</v>
      </c>
      <c r="AD34" s="33" t="s">
        <v>195</v>
      </c>
      <c r="AE34" s="33" t="s">
        <v>199</v>
      </c>
      <c r="AF34" s="33">
        <v>142.1</v>
      </c>
      <c r="AG34" s="33" t="s">
        <v>112</v>
      </c>
      <c r="AH34" s="33">
        <v>3</v>
      </c>
      <c r="AI34" s="33">
        <v>1</v>
      </c>
      <c r="AJ34" s="140" t="s">
        <v>113</v>
      </c>
      <c r="AK34" s="33" t="s">
        <v>114</v>
      </c>
      <c r="AL34" s="61"/>
      <c r="AN34" s="33">
        <f t="shared" si="2"/>
        <v>20</v>
      </c>
      <c r="AO34" s="33" t="s">
        <v>71</v>
      </c>
      <c r="AP34" s="33">
        <v>56.7</v>
      </c>
      <c r="AQ34" s="33" t="s">
        <v>162</v>
      </c>
      <c r="AR34" s="33" t="s">
        <v>200</v>
      </c>
      <c r="AS34" s="33">
        <v>96</v>
      </c>
      <c r="AT34" s="33" t="s">
        <v>201</v>
      </c>
      <c r="AU34" s="33">
        <v>3</v>
      </c>
      <c r="AV34" s="33">
        <v>1</v>
      </c>
      <c r="AW34" s="140" t="s">
        <v>113</v>
      </c>
      <c r="AX34" s="33" t="s">
        <v>114</v>
      </c>
      <c r="AY34" s="61"/>
    </row>
    <row r="35" spans="14:51" ht="37.5" customHeight="1">
      <c r="N35" s="132">
        <f t="shared" si="1"/>
        <v>21</v>
      </c>
      <c r="O35" s="33" t="s">
        <v>71</v>
      </c>
      <c r="P35" s="33">
        <v>56.7</v>
      </c>
      <c r="Q35" s="33" t="s">
        <v>198</v>
      </c>
      <c r="R35" s="33" t="s">
        <v>202</v>
      </c>
      <c r="S35" s="33">
        <v>33.700000000000003</v>
      </c>
      <c r="T35" s="33" t="s">
        <v>112</v>
      </c>
      <c r="U35" s="33">
        <v>3</v>
      </c>
      <c r="V35" s="33">
        <v>1</v>
      </c>
      <c r="W35" s="140" t="s">
        <v>113</v>
      </c>
      <c r="X35" s="33" t="s">
        <v>114</v>
      </c>
      <c r="Y35" s="135"/>
      <c r="AA35" s="33">
        <f t="shared" si="4"/>
        <v>21</v>
      </c>
      <c r="AB35" s="33" t="s">
        <v>71</v>
      </c>
      <c r="AC35" s="33">
        <v>81.099999999999994</v>
      </c>
      <c r="AD35" s="33" t="s">
        <v>199</v>
      </c>
      <c r="AE35" s="33" t="s">
        <v>203</v>
      </c>
      <c r="AF35" s="33">
        <v>131.9</v>
      </c>
      <c r="AG35" s="33" t="s">
        <v>112</v>
      </c>
      <c r="AH35" s="33">
        <v>3</v>
      </c>
      <c r="AI35" s="33">
        <v>1</v>
      </c>
      <c r="AJ35" s="140" t="s">
        <v>113</v>
      </c>
      <c r="AK35" s="33" t="s">
        <v>114</v>
      </c>
      <c r="AL35" s="61"/>
      <c r="AN35" s="33">
        <f t="shared" si="2"/>
        <v>21</v>
      </c>
      <c r="AO35" s="33" t="s">
        <v>71</v>
      </c>
      <c r="AP35" s="33">
        <v>81.099999999999994</v>
      </c>
      <c r="AQ35" s="33" t="s">
        <v>156</v>
      </c>
      <c r="AR35" s="33" t="s">
        <v>173</v>
      </c>
      <c r="AS35" s="33">
        <v>47</v>
      </c>
      <c r="AT35" s="33" t="s">
        <v>204</v>
      </c>
      <c r="AU35" s="33">
        <v>3</v>
      </c>
      <c r="AV35" s="33">
        <v>1</v>
      </c>
      <c r="AW35" s="140" t="s">
        <v>113</v>
      </c>
      <c r="AX35" s="33" t="s">
        <v>114</v>
      </c>
      <c r="AY35" s="61"/>
    </row>
    <row r="36" spans="14:51" ht="37.5" customHeight="1">
      <c r="N36" s="132">
        <f t="shared" si="1"/>
        <v>22</v>
      </c>
      <c r="O36" s="33" t="s">
        <v>71</v>
      </c>
      <c r="P36" s="33">
        <v>99.3</v>
      </c>
      <c r="Q36" s="33" t="s">
        <v>153</v>
      </c>
      <c r="R36" s="33" t="s">
        <v>205</v>
      </c>
      <c r="S36" s="33">
        <v>118.5</v>
      </c>
      <c r="T36" s="33" t="s">
        <v>112</v>
      </c>
      <c r="U36" s="33">
        <v>3</v>
      </c>
      <c r="V36" s="33">
        <v>1</v>
      </c>
      <c r="W36" s="140" t="s">
        <v>113</v>
      </c>
      <c r="X36" s="33" t="s">
        <v>114</v>
      </c>
      <c r="Y36" s="135"/>
      <c r="AA36" s="33">
        <f t="shared" si="4"/>
        <v>22</v>
      </c>
      <c r="AB36" s="33" t="s">
        <v>71</v>
      </c>
      <c r="AC36" s="33">
        <v>81.099999999999994</v>
      </c>
      <c r="AD36" s="33" t="s">
        <v>199</v>
      </c>
      <c r="AE36" s="33" t="s">
        <v>206</v>
      </c>
      <c r="AF36" s="33">
        <v>193.2</v>
      </c>
      <c r="AG36" s="33" t="s">
        <v>112</v>
      </c>
      <c r="AH36" s="33">
        <v>3</v>
      </c>
      <c r="AI36" s="33">
        <v>1</v>
      </c>
      <c r="AJ36" s="140" t="s">
        <v>113</v>
      </c>
      <c r="AK36" s="33" t="s">
        <v>114</v>
      </c>
      <c r="AL36" s="61"/>
      <c r="AN36" s="33">
        <f t="shared" si="2"/>
        <v>22</v>
      </c>
      <c r="AO36" s="33" t="s">
        <v>71</v>
      </c>
      <c r="AP36" s="33">
        <v>81.099999999999994</v>
      </c>
      <c r="AQ36" s="33" t="s">
        <v>207</v>
      </c>
      <c r="AR36" s="33" t="s">
        <v>208</v>
      </c>
      <c r="AS36" s="33">
        <v>74</v>
      </c>
      <c r="AT36" s="33" t="s">
        <v>209</v>
      </c>
      <c r="AU36" s="33">
        <v>3</v>
      </c>
      <c r="AV36" s="33">
        <v>1</v>
      </c>
      <c r="AW36" s="140" t="s">
        <v>113</v>
      </c>
      <c r="AX36" s="33" t="s">
        <v>114</v>
      </c>
      <c r="AY36" s="61"/>
    </row>
    <row r="37" spans="14:51" ht="37.5" customHeight="1">
      <c r="N37" s="132">
        <f t="shared" ref="N37:N62" si="5">1+N36</f>
        <v>23</v>
      </c>
      <c r="O37" s="33" t="s">
        <v>71</v>
      </c>
      <c r="P37" s="33">
        <v>144.4</v>
      </c>
      <c r="Q37" s="33" t="s">
        <v>198</v>
      </c>
      <c r="R37" s="33" t="s">
        <v>72</v>
      </c>
      <c r="S37" s="33">
        <v>65.3</v>
      </c>
      <c r="T37" s="33" t="s">
        <v>112</v>
      </c>
      <c r="U37" s="33">
        <v>3</v>
      </c>
      <c r="V37" s="33">
        <v>1</v>
      </c>
      <c r="W37" s="140" t="s">
        <v>113</v>
      </c>
      <c r="X37" s="33" t="s">
        <v>114</v>
      </c>
      <c r="Y37" s="135"/>
      <c r="AA37" s="33">
        <f t="shared" si="4"/>
        <v>23</v>
      </c>
      <c r="AB37" s="33" t="s">
        <v>71</v>
      </c>
      <c r="AC37" s="33">
        <v>81.099999999999994</v>
      </c>
      <c r="AD37" s="33" t="s">
        <v>206</v>
      </c>
      <c r="AE37" s="33" t="s">
        <v>210</v>
      </c>
      <c r="AF37" s="33">
        <v>96</v>
      </c>
      <c r="AG37" s="33" t="s">
        <v>112</v>
      </c>
      <c r="AH37" s="33">
        <v>3</v>
      </c>
      <c r="AI37" s="33">
        <v>1</v>
      </c>
      <c r="AJ37" s="140" t="s">
        <v>113</v>
      </c>
      <c r="AK37" s="33" t="s">
        <v>114</v>
      </c>
      <c r="AL37" s="61"/>
      <c r="AN37" s="33">
        <f t="shared" si="2"/>
        <v>23</v>
      </c>
      <c r="AO37" s="33" t="s">
        <v>71</v>
      </c>
      <c r="AP37" s="33">
        <v>99.3</v>
      </c>
      <c r="AQ37" s="33" t="s">
        <v>151</v>
      </c>
      <c r="AR37" s="33" t="s">
        <v>211</v>
      </c>
      <c r="AS37" s="33">
        <v>40</v>
      </c>
      <c r="AT37" s="33" t="s">
        <v>212</v>
      </c>
      <c r="AU37" s="33">
        <v>3</v>
      </c>
      <c r="AV37" s="33">
        <v>1</v>
      </c>
      <c r="AW37" s="140" t="s">
        <v>113</v>
      </c>
      <c r="AX37" s="33" t="s">
        <v>114</v>
      </c>
      <c r="AY37" s="61"/>
    </row>
    <row r="38" spans="14:51" ht="37.5" customHeight="1">
      <c r="N38" s="132">
        <f t="shared" si="5"/>
        <v>24</v>
      </c>
      <c r="O38" s="33" t="s">
        <v>71</v>
      </c>
      <c r="P38" s="33">
        <v>56.7</v>
      </c>
      <c r="Q38" s="33" t="s">
        <v>72</v>
      </c>
      <c r="R38" s="33" t="s">
        <v>213</v>
      </c>
      <c r="S38" s="33">
        <v>33</v>
      </c>
      <c r="T38" s="33" t="s">
        <v>112</v>
      </c>
      <c r="U38" s="33">
        <v>3</v>
      </c>
      <c r="V38" s="33">
        <v>1</v>
      </c>
      <c r="W38" s="140" t="s">
        <v>113</v>
      </c>
      <c r="X38" s="33" t="s">
        <v>114</v>
      </c>
      <c r="Y38" s="135"/>
      <c r="AA38" s="33">
        <f t="shared" si="4"/>
        <v>24</v>
      </c>
      <c r="AB38" s="33" t="s">
        <v>71</v>
      </c>
      <c r="AC38" s="131">
        <v>144.4</v>
      </c>
      <c r="AD38" s="33" t="s">
        <v>195</v>
      </c>
      <c r="AE38" s="33" t="s">
        <v>214</v>
      </c>
      <c r="AF38" s="33">
        <v>55</v>
      </c>
      <c r="AG38" s="33" t="s">
        <v>112</v>
      </c>
      <c r="AH38" s="33">
        <v>3</v>
      </c>
      <c r="AI38" s="33">
        <v>1</v>
      </c>
      <c r="AJ38" s="140" t="s">
        <v>113</v>
      </c>
      <c r="AK38" s="33" t="s">
        <v>114</v>
      </c>
      <c r="AL38" s="61"/>
      <c r="AN38" s="271" t="s">
        <v>86</v>
      </c>
      <c r="AO38" s="240"/>
      <c r="AP38" s="240"/>
      <c r="AQ38" s="240"/>
      <c r="AR38" s="240"/>
      <c r="AS38" s="241"/>
      <c r="AT38" s="239" t="s">
        <v>87</v>
      </c>
      <c r="AU38" s="240"/>
      <c r="AV38" s="241"/>
      <c r="AW38" s="239" t="s">
        <v>39</v>
      </c>
      <c r="AX38" s="240"/>
      <c r="AY38" s="242"/>
    </row>
    <row r="39" spans="14:51" ht="37.5" customHeight="1">
      <c r="N39" s="132">
        <f t="shared" si="5"/>
        <v>25</v>
      </c>
      <c r="O39" s="33" t="s">
        <v>71</v>
      </c>
      <c r="P39" s="33">
        <v>56.7</v>
      </c>
      <c r="Q39" s="33" t="s">
        <v>72</v>
      </c>
      <c r="R39" s="33" t="s">
        <v>215</v>
      </c>
      <c r="S39" s="33">
        <v>68.8</v>
      </c>
      <c r="T39" s="33" t="s">
        <v>112</v>
      </c>
      <c r="U39" s="33">
        <v>3</v>
      </c>
      <c r="V39" s="33">
        <v>1</v>
      </c>
      <c r="W39" s="140" t="s">
        <v>113</v>
      </c>
      <c r="X39" s="33" t="s">
        <v>114</v>
      </c>
      <c r="Y39" s="135"/>
      <c r="AA39" s="33">
        <f t="shared" si="4"/>
        <v>25</v>
      </c>
      <c r="AB39" s="33" t="s">
        <v>71</v>
      </c>
      <c r="AC39" s="33">
        <v>56.7</v>
      </c>
      <c r="AD39" s="33" t="s">
        <v>214</v>
      </c>
      <c r="AE39" s="33" t="s">
        <v>216</v>
      </c>
      <c r="AF39" s="33">
        <v>80.2</v>
      </c>
      <c r="AG39" s="33" t="s">
        <v>112</v>
      </c>
      <c r="AH39" s="33">
        <v>3</v>
      </c>
      <c r="AI39" s="33">
        <v>1</v>
      </c>
      <c r="AJ39" s="140" t="s">
        <v>113</v>
      </c>
      <c r="AK39" s="33" t="s">
        <v>114</v>
      </c>
      <c r="AL39" s="61"/>
      <c r="AN39" s="93" t="s">
        <v>40</v>
      </c>
      <c r="AO39" s="272" t="s">
        <v>133</v>
      </c>
      <c r="AP39" s="273"/>
      <c r="AQ39" s="273"/>
      <c r="AR39" s="273"/>
      <c r="AS39" s="274"/>
      <c r="AT39" s="272"/>
      <c r="AU39" s="273"/>
      <c r="AV39" s="274"/>
      <c r="AW39" s="272"/>
      <c r="AX39" s="273"/>
      <c r="AY39" s="275"/>
    </row>
    <row r="40" spans="14:51" ht="37.5" customHeight="1">
      <c r="N40" s="132">
        <f t="shared" si="5"/>
        <v>26</v>
      </c>
      <c r="O40" s="33" t="s">
        <v>71</v>
      </c>
      <c r="P40" s="33">
        <v>144.4</v>
      </c>
      <c r="Q40" s="33" t="s">
        <v>72</v>
      </c>
      <c r="R40" s="33" t="s">
        <v>217</v>
      </c>
      <c r="S40" s="33">
        <v>62</v>
      </c>
      <c r="T40" s="33" t="s">
        <v>112</v>
      </c>
      <c r="U40" s="33">
        <v>3</v>
      </c>
      <c r="V40" s="33">
        <v>1</v>
      </c>
      <c r="W40" s="140" t="s">
        <v>113</v>
      </c>
      <c r="X40" s="33" t="s">
        <v>114</v>
      </c>
      <c r="Y40" s="135"/>
      <c r="AA40" s="33">
        <f t="shared" si="4"/>
        <v>26</v>
      </c>
      <c r="AB40" s="33" t="s">
        <v>71</v>
      </c>
      <c r="AC40" s="33">
        <v>144.4</v>
      </c>
      <c r="AD40" s="33" t="s">
        <v>218</v>
      </c>
      <c r="AE40" s="33" t="s">
        <v>219</v>
      </c>
      <c r="AF40" s="33">
        <v>91.1</v>
      </c>
      <c r="AG40" s="33" t="s">
        <v>112</v>
      </c>
      <c r="AH40" s="33">
        <v>3</v>
      </c>
      <c r="AI40" s="33">
        <v>1</v>
      </c>
      <c r="AJ40" s="140" t="s">
        <v>113</v>
      </c>
      <c r="AK40" s="33" t="s">
        <v>114</v>
      </c>
      <c r="AL40" s="61"/>
      <c r="AN40" s="93" t="s">
        <v>41</v>
      </c>
      <c r="AO40" s="272" t="s">
        <v>140</v>
      </c>
      <c r="AP40" s="273"/>
      <c r="AQ40" s="273"/>
      <c r="AR40" s="273"/>
      <c r="AS40" s="274"/>
      <c r="AT40" s="272"/>
      <c r="AU40" s="273"/>
      <c r="AV40" s="274"/>
      <c r="AW40" s="272"/>
      <c r="AX40" s="273"/>
      <c r="AY40" s="275"/>
    </row>
    <row r="41" spans="14:51" ht="37.5" customHeight="1">
      <c r="N41" s="132">
        <f t="shared" si="5"/>
        <v>27</v>
      </c>
      <c r="O41" s="33" t="s">
        <v>71</v>
      </c>
      <c r="P41" s="33">
        <v>99.3</v>
      </c>
      <c r="Q41" s="33" t="s">
        <v>148</v>
      </c>
      <c r="R41" s="33" t="s">
        <v>220</v>
      </c>
      <c r="S41" s="33">
        <v>67.400000000000006</v>
      </c>
      <c r="T41" s="33" t="s">
        <v>112</v>
      </c>
      <c r="U41" s="33">
        <v>3</v>
      </c>
      <c r="V41" s="33">
        <v>1</v>
      </c>
      <c r="W41" s="140" t="s">
        <v>113</v>
      </c>
      <c r="X41" s="33" t="s">
        <v>114</v>
      </c>
      <c r="Y41" s="135"/>
      <c r="AA41" s="33">
        <f t="shared" si="4"/>
        <v>27</v>
      </c>
      <c r="AB41" s="33" t="s">
        <v>71</v>
      </c>
      <c r="AC41" s="33">
        <v>144.4</v>
      </c>
      <c r="AD41" s="33" t="s">
        <v>219</v>
      </c>
      <c r="AE41" s="33" t="s">
        <v>141</v>
      </c>
      <c r="AF41" s="33">
        <v>258</v>
      </c>
      <c r="AG41" s="33" t="s">
        <v>112</v>
      </c>
      <c r="AH41" s="33">
        <v>3</v>
      </c>
      <c r="AI41" s="33">
        <v>1</v>
      </c>
      <c r="AJ41" s="140" t="s">
        <v>113</v>
      </c>
      <c r="AK41" s="33" t="s">
        <v>114</v>
      </c>
      <c r="AL41" s="61"/>
      <c r="AN41" s="93" t="s">
        <v>42</v>
      </c>
      <c r="AO41" s="262"/>
      <c r="AP41" s="263"/>
      <c r="AQ41" s="263"/>
      <c r="AR41" s="263"/>
      <c r="AS41" s="264"/>
      <c r="AT41" s="272"/>
      <c r="AU41" s="273"/>
      <c r="AV41" s="274"/>
      <c r="AW41" s="272"/>
      <c r="AX41" s="273"/>
      <c r="AY41" s="275"/>
    </row>
    <row r="42" spans="14:51" ht="37.5" customHeight="1">
      <c r="N42" s="132">
        <f t="shared" si="5"/>
        <v>28</v>
      </c>
      <c r="O42" s="33" t="s">
        <v>71</v>
      </c>
      <c r="P42" s="33">
        <v>56.7</v>
      </c>
      <c r="Q42" s="33" t="s">
        <v>84</v>
      </c>
      <c r="R42" s="33" t="s">
        <v>221</v>
      </c>
      <c r="S42" s="33">
        <v>144.5</v>
      </c>
      <c r="T42" s="33" t="s">
        <v>112</v>
      </c>
      <c r="U42" s="33">
        <v>3</v>
      </c>
      <c r="V42" s="33">
        <v>1</v>
      </c>
      <c r="W42" s="140" t="s">
        <v>113</v>
      </c>
      <c r="X42" s="33" t="s">
        <v>114</v>
      </c>
      <c r="Y42" s="135"/>
      <c r="AA42" s="33">
        <f t="shared" si="4"/>
        <v>28</v>
      </c>
      <c r="AB42" s="33" t="s">
        <v>71</v>
      </c>
      <c r="AC42" s="33">
        <v>144.4</v>
      </c>
      <c r="AD42" s="33" t="s">
        <v>222</v>
      </c>
      <c r="AE42" s="33" t="s">
        <v>191</v>
      </c>
      <c r="AF42" s="33">
        <v>123</v>
      </c>
      <c r="AG42" s="33" t="s">
        <v>112</v>
      </c>
      <c r="AH42" s="33">
        <v>3</v>
      </c>
      <c r="AI42" s="33">
        <v>1</v>
      </c>
      <c r="AJ42" s="140" t="s">
        <v>113</v>
      </c>
      <c r="AK42" s="33" t="s">
        <v>114</v>
      </c>
      <c r="AL42" s="61"/>
      <c r="AN42" s="189" t="s">
        <v>43</v>
      </c>
      <c r="AO42" s="189"/>
      <c r="AP42" s="268"/>
      <c r="AQ42" s="269"/>
      <c r="AR42" s="269"/>
      <c r="AS42" s="269"/>
      <c r="AT42" s="270"/>
      <c r="AU42" s="270"/>
      <c r="AV42" s="270"/>
      <c r="AW42" s="270"/>
      <c r="AX42" s="270"/>
      <c r="AY42" s="270"/>
    </row>
    <row r="43" spans="14:51" ht="37.5" customHeight="1">
      <c r="N43" s="132">
        <f t="shared" si="5"/>
        <v>29</v>
      </c>
      <c r="O43" s="33" t="s">
        <v>71</v>
      </c>
      <c r="P43" s="33">
        <v>81.099999999999994</v>
      </c>
      <c r="Q43" s="33" t="s">
        <v>221</v>
      </c>
      <c r="R43" s="33" t="s">
        <v>164</v>
      </c>
      <c r="S43" s="33">
        <v>160</v>
      </c>
      <c r="T43" s="33" t="s">
        <v>112</v>
      </c>
      <c r="U43" s="33">
        <v>3</v>
      </c>
      <c r="V43" s="33">
        <v>1</v>
      </c>
      <c r="W43" s="140" t="s">
        <v>113</v>
      </c>
      <c r="X43" s="33" t="s">
        <v>114</v>
      </c>
      <c r="Y43" s="135"/>
      <c r="AA43" s="33">
        <f t="shared" si="4"/>
        <v>29</v>
      </c>
      <c r="AB43" s="33" t="s">
        <v>71</v>
      </c>
      <c r="AC43" s="33">
        <v>56.7</v>
      </c>
      <c r="AD43" s="33" t="s">
        <v>218</v>
      </c>
      <c r="AE43" s="33" t="s">
        <v>223</v>
      </c>
      <c r="AF43" s="33">
        <v>76.400000000000006</v>
      </c>
      <c r="AG43" s="33" t="s">
        <v>125</v>
      </c>
      <c r="AH43" s="33">
        <v>3</v>
      </c>
      <c r="AI43" s="33">
        <v>1</v>
      </c>
      <c r="AJ43" s="140" t="s">
        <v>113</v>
      </c>
      <c r="AK43" s="33" t="s">
        <v>114</v>
      </c>
      <c r="AL43" s="61"/>
    </row>
    <row r="44" spans="14:51" ht="37.5" customHeight="1">
      <c r="N44" s="132">
        <f t="shared" si="5"/>
        <v>30</v>
      </c>
      <c r="O44" s="33" t="s">
        <v>71</v>
      </c>
      <c r="P44" s="33">
        <v>81.099999999999994</v>
      </c>
      <c r="Q44" s="33" t="s">
        <v>221</v>
      </c>
      <c r="R44" s="33" t="s">
        <v>224</v>
      </c>
      <c r="S44" s="33">
        <v>282.89999999999998</v>
      </c>
      <c r="T44" s="33" t="s">
        <v>112</v>
      </c>
      <c r="U44" s="33">
        <v>3</v>
      </c>
      <c r="V44" s="33">
        <v>1</v>
      </c>
      <c r="W44" s="140" t="s">
        <v>113</v>
      </c>
      <c r="X44" s="33" t="s">
        <v>114</v>
      </c>
      <c r="Y44" s="135"/>
      <c r="AA44" s="33">
        <f t="shared" si="4"/>
        <v>30</v>
      </c>
      <c r="AB44" s="33" t="s">
        <v>71</v>
      </c>
      <c r="AC44" s="33">
        <v>56.7</v>
      </c>
      <c r="AD44" s="33" t="s">
        <v>219</v>
      </c>
      <c r="AE44" s="33" t="s">
        <v>225</v>
      </c>
      <c r="AF44" s="33">
        <v>105.9</v>
      </c>
      <c r="AG44" s="33" t="s">
        <v>131</v>
      </c>
      <c r="AH44" s="33">
        <v>3</v>
      </c>
      <c r="AI44" s="33">
        <v>1</v>
      </c>
      <c r="AJ44" s="140" t="s">
        <v>113</v>
      </c>
      <c r="AK44" s="33" t="s">
        <v>114</v>
      </c>
      <c r="AL44" s="61"/>
    </row>
    <row r="45" spans="14:51" ht="37.5" customHeight="1">
      <c r="N45" s="132">
        <f t="shared" si="5"/>
        <v>31</v>
      </c>
      <c r="O45" s="33" t="s">
        <v>71</v>
      </c>
      <c r="P45" s="33">
        <v>81.099999999999994</v>
      </c>
      <c r="Q45" s="33" t="s">
        <v>224</v>
      </c>
      <c r="R45" s="33" t="s">
        <v>226</v>
      </c>
      <c r="S45" s="33">
        <v>418.9</v>
      </c>
      <c r="T45" s="33" t="s">
        <v>112</v>
      </c>
      <c r="U45" s="33">
        <v>3</v>
      </c>
      <c r="V45" s="33">
        <v>1</v>
      </c>
      <c r="W45" s="140" t="s">
        <v>113</v>
      </c>
      <c r="X45" s="33" t="s">
        <v>114</v>
      </c>
      <c r="Y45" s="135"/>
      <c r="AA45" s="33">
        <f t="shared" si="4"/>
        <v>31</v>
      </c>
      <c r="AB45" s="33" t="s">
        <v>71</v>
      </c>
      <c r="AC45" s="33">
        <v>56.7</v>
      </c>
      <c r="AD45" s="33" t="s">
        <v>227</v>
      </c>
      <c r="AE45" s="33" t="s">
        <v>228</v>
      </c>
      <c r="AF45" s="33">
        <v>36.1</v>
      </c>
      <c r="AG45" s="33" t="s">
        <v>137</v>
      </c>
      <c r="AH45" s="33">
        <v>3</v>
      </c>
      <c r="AI45" s="33">
        <v>1</v>
      </c>
      <c r="AJ45" s="140" t="s">
        <v>113</v>
      </c>
      <c r="AK45" s="33" t="s">
        <v>114</v>
      </c>
      <c r="AL45" s="61"/>
    </row>
    <row r="46" spans="14:51" ht="37.5" customHeight="1">
      <c r="N46" s="132">
        <f t="shared" si="5"/>
        <v>32</v>
      </c>
      <c r="O46" s="33" t="s">
        <v>71</v>
      </c>
      <c r="P46" s="33">
        <v>81.099999999999994</v>
      </c>
      <c r="Q46" s="33" t="s">
        <v>224</v>
      </c>
      <c r="R46" s="33" t="s">
        <v>229</v>
      </c>
      <c r="S46" s="33">
        <v>46</v>
      </c>
      <c r="T46" s="33" t="s">
        <v>112</v>
      </c>
      <c r="U46" s="33">
        <v>3</v>
      </c>
      <c r="V46" s="33">
        <v>1</v>
      </c>
      <c r="W46" s="140" t="s">
        <v>113</v>
      </c>
      <c r="X46" s="33" t="s">
        <v>114</v>
      </c>
      <c r="Y46" s="135"/>
      <c r="AA46" s="33">
        <f t="shared" si="4"/>
        <v>32</v>
      </c>
      <c r="AB46" s="33" t="s">
        <v>71</v>
      </c>
      <c r="AC46" s="33">
        <v>56.7</v>
      </c>
      <c r="AD46" s="33" t="s">
        <v>206</v>
      </c>
      <c r="AE46" s="33" t="s">
        <v>230</v>
      </c>
      <c r="AF46" s="33">
        <v>42</v>
      </c>
      <c r="AG46" s="33" t="s">
        <v>144</v>
      </c>
      <c r="AH46" s="33">
        <v>3</v>
      </c>
      <c r="AI46" s="33">
        <v>1</v>
      </c>
      <c r="AJ46" s="140" t="s">
        <v>113</v>
      </c>
      <c r="AK46" s="33" t="s">
        <v>114</v>
      </c>
      <c r="AL46" s="61"/>
    </row>
    <row r="47" spans="14:51" ht="37.5" customHeight="1">
      <c r="N47" s="132">
        <f t="shared" si="5"/>
        <v>33</v>
      </c>
      <c r="O47" s="33" t="s">
        <v>71</v>
      </c>
      <c r="P47" s="33">
        <v>81.099999999999994</v>
      </c>
      <c r="Q47" s="33" t="s">
        <v>229</v>
      </c>
      <c r="R47" s="33" t="s">
        <v>231</v>
      </c>
      <c r="S47" s="33">
        <v>175.2</v>
      </c>
      <c r="T47" s="33" t="s">
        <v>112</v>
      </c>
      <c r="U47" s="33">
        <v>3</v>
      </c>
      <c r="V47" s="33">
        <v>1</v>
      </c>
      <c r="W47" s="140" t="s">
        <v>113</v>
      </c>
      <c r="X47" s="33" t="s">
        <v>114</v>
      </c>
      <c r="Y47" s="61"/>
      <c r="AA47" s="33">
        <f t="shared" si="4"/>
        <v>33</v>
      </c>
      <c r="AB47" s="33" t="s">
        <v>71</v>
      </c>
      <c r="AC47" s="33">
        <v>56.7</v>
      </c>
      <c r="AD47" s="33" t="s">
        <v>210</v>
      </c>
      <c r="AE47" s="33" t="s">
        <v>232</v>
      </c>
      <c r="AF47" s="33">
        <v>29</v>
      </c>
      <c r="AG47" s="33" t="s">
        <v>147</v>
      </c>
      <c r="AH47" s="33">
        <v>3</v>
      </c>
      <c r="AI47" s="33">
        <v>1</v>
      </c>
      <c r="AJ47" s="140" t="s">
        <v>113</v>
      </c>
      <c r="AK47" s="33" t="s">
        <v>114</v>
      </c>
      <c r="AL47" s="61"/>
    </row>
    <row r="48" spans="14:51" ht="37.5" customHeight="1">
      <c r="N48" s="132">
        <f t="shared" si="5"/>
        <v>34</v>
      </c>
      <c r="O48" s="33" t="s">
        <v>71</v>
      </c>
      <c r="P48" s="33">
        <v>81.099999999999994</v>
      </c>
      <c r="Q48" s="33" t="s">
        <v>231</v>
      </c>
      <c r="R48" s="33" t="s">
        <v>171</v>
      </c>
      <c r="S48" s="33">
        <v>78</v>
      </c>
      <c r="T48" s="33" t="s">
        <v>112</v>
      </c>
      <c r="U48" s="33">
        <v>3</v>
      </c>
      <c r="V48" s="33">
        <v>1</v>
      </c>
      <c r="W48" s="140" t="s">
        <v>113</v>
      </c>
      <c r="X48" s="33" t="s">
        <v>114</v>
      </c>
      <c r="Y48" s="61"/>
      <c r="AA48" s="33">
        <f t="shared" si="4"/>
        <v>34</v>
      </c>
      <c r="AB48" s="33" t="s">
        <v>71</v>
      </c>
      <c r="AC48" s="33">
        <v>64.7</v>
      </c>
      <c r="AD48" s="33" t="s">
        <v>233</v>
      </c>
      <c r="AE48" s="33" t="s">
        <v>227</v>
      </c>
      <c r="AF48" s="33">
        <v>25.1</v>
      </c>
      <c r="AG48" s="33" t="s">
        <v>152</v>
      </c>
      <c r="AH48" s="33">
        <v>3</v>
      </c>
      <c r="AI48" s="33">
        <v>1</v>
      </c>
      <c r="AJ48" s="140" t="s">
        <v>113</v>
      </c>
      <c r="AK48" s="33" t="s">
        <v>114</v>
      </c>
      <c r="AL48" s="61"/>
    </row>
    <row r="49" spans="14:38" ht="37.5" customHeight="1">
      <c r="N49" s="132">
        <f t="shared" si="5"/>
        <v>35</v>
      </c>
      <c r="O49" s="33" t="s">
        <v>71</v>
      </c>
      <c r="P49" s="33">
        <v>81.099999999999994</v>
      </c>
      <c r="Q49" s="33" t="s">
        <v>226</v>
      </c>
      <c r="R49" s="33" t="s">
        <v>234</v>
      </c>
      <c r="S49" s="33">
        <v>7</v>
      </c>
      <c r="T49" s="33" t="s">
        <v>112</v>
      </c>
      <c r="U49" s="33">
        <v>3</v>
      </c>
      <c r="V49" s="33">
        <v>1</v>
      </c>
      <c r="W49" s="140" t="s">
        <v>113</v>
      </c>
      <c r="X49" s="33" t="s">
        <v>114</v>
      </c>
      <c r="Y49" s="61"/>
      <c r="AA49" s="33">
        <f t="shared" si="4"/>
        <v>35</v>
      </c>
      <c r="AB49" s="33" t="s">
        <v>71</v>
      </c>
      <c r="AC49" s="33">
        <v>64.7</v>
      </c>
      <c r="AD49" s="33" t="s">
        <v>227</v>
      </c>
      <c r="AE49" s="33" t="s">
        <v>235</v>
      </c>
      <c r="AF49" s="33">
        <v>19.399999999999999</v>
      </c>
      <c r="AG49" s="33" t="s">
        <v>157</v>
      </c>
      <c r="AH49" s="33">
        <v>3</v>
      </c>
      <c r="AI49" s="33">
        <v>1</v>
      </c>
      <c r="AJ49" s="140" t="s">
        <v>113</v>
      </c>
      <c r="AK49" s="33" t="s">
        <v>114</v>
      </c>
      <c r="AL49" s="61"/>
    </row>
    <row r="50" spans="14:38" ht="37.5" customHeight="1">
      <c r="N50" s="132">
        <f t="shared" si="5"/>
        <v>36</v>
      </c>
      <c r="O50" s="33" t="s">
        <v>71</v>
      </c>
      <c r="P50" s="33">
        <v>56.7</v>
      </c>
      <c r="Q50" s="33" t="s">
        <v>226</v>
      </c>
      <c r="R50" s="33" t="s">
        <v>236</v>
      </c>
      <c r="S50" s="33">
        <v>35</v>
      </c>
      <c r="T50" s="33" t="s">
        <v>112</v>
      </c>
      <c r="U50" s="33">
        <v>3</v>
      </c>
      <c r="V50" s="33">
        <v>1</v>
      </c>
      <c r="W50" s="140" t="s">
        <v>113</v>
      </c>
      <c r="X50" s="33" t="s">
        <v>114</v>
      </c>
      <c r="Y50" s="61"/>
      <c r="AA50" s="33">
        <f t="shared" si="4"/>
        <v>36</v>
      </c>
      <c r="AB50" s="33" t="s">
        <v>71</v>
      </c>
      <c r="AC50" s="33">
        <v>64.7</v>
      </c>
      <c r="AD50" s="33" t="s">
        <v>235</v>
      </c>
      <c r="AE50" s="33" t="s">
        <v>237</v>
      </c>
      <c r="AF50" s="33">
        <v>21.8</v>
      </c>
      <c r="AG50" s="33" t="s">
        <v>160</v>
      </c>
      <c r="AH50" s="33">
        <v>3</v>
      </c>
      <c r="AI50" s="33">
        <v>1</v>
      </c>
      <c r="AJ50" s="140" t="s">
        <v>113</v>
      </c>
      <c r="AK50" s="33" t="s">
        <v>114</v>
      </c>
      <c r="AL50" s="61"/>
    </row>
    <row r="51" spans="14:38" ht="37.5" customHeight="1">
      <c r="N51" s="132">
        <f t="shared" si="5"/>
        <v>37</v>
      </c>
      <c r="O51" s="33" t="s">
        <v>71</v>
      </c>
      <c r="P51" s="33">
        <v>81.099999999999994</v>
      </c>
      <c r="Q51" s="33" t="s">
        <v>226</v>
      </c>
      <c r="R51" s="33" t="s">
        <v>238</v>
      </c>
      <c r="S51" s="33">
        <v>103.5</v>
      </c>
      <c r="T51" s="33" t="s">
        <v>112</v>
      </c>
      <c r="U51" s="33">
        <v>3</v>
      </c>
      <c r="V51" s="33">
        <v>1</v>
      </c>
      <c r="W51" s="140" t="s">
        <v>113</v>
      </c>
      <c r="X51" s="33" t="s">
        <v>114</v>
      </c>
      <c r="Y51" s="61"/>
      <c r="AA51" s="33">
        <f t="shared" si="4"/>
        <v>37</v>
      </c>
      <c r="AB51" s="33" t="s">
        <v>71</v>
      </c>
      <c r="AC51" s="33">
        <v>64.7</v>
      </c>
      <c r="AD51" s="33" t="s">
        <v>235</v>
      </c>
      <c r="AE51" s="33" t="s">
        <v>239</v>
      </c>
      <c r="AF51" s="33">
        <v>126.5</v>
      </c>
      <c r="AG51" s="33" t="s">
        <v>163</v>
      </c>
      <c r="AH51" s="33">
        <v>3</v>
      </c>
      <c r="AI51" s="33">
        <v>1</v>
      </c>
      <c r="AJ51" s="140" t="s">
        <v>113</v>
      </c>
      <c r="AK51" s="33" t="s">
        <v>114</v>
      </c>
      <c r="AL51" s="61"/>
    </row>
    <row r="52" spans="14:38" ht="37.5" customHeight="1">
      <c r="N52" s="132">
        <f t="shared" si="5"/>
        <v>38</v>
      </c>
      <c r="O52" s="33" t="s">
        <v>71</v>
      </c>
      <c r="P52" s="33">
        <v>81.099999999999994</v>
      </c>
      <c r="Q52" s="33" t="s">
        <v>238</v>
      </c>
      <c r="R52" s="33" t="s">
        <v>231</v>
      </c>
      <c r="S52" s="33">
        <v>403.8</v>
      </c>
      <c r="T52" s="33" t="s">
        <v>112</v>
      </c>
      <c r="U52" s="33">
        <v>3</v>
      </c>
      <c r="V52" s="33">
        <v>1</v>
      </c>
      <c r="W52" s="140" t="s">
        <v>113</v>
      </c>
      <c r="X52" s="33" t="s">
        <v>114</v>
      </c>
      <c r="Y52" s="61"/>
      <c r="AA52" s="33">
        <f t="shared" si="4"/>
        <v>38</v>
      </c>
      <c r="AB52" s="33" t="s">
        <v>71</v>
      </c>
      <c r="AC52" s="33">
        <v>64.7</v>
      </c>
      <c r="AD52" s="33" t="s">
        <v>239</v>
      </c>
      <c r="AE52" s="33" t="s">
        <v>240</v>
      </c>
      <c r="AF52" s="33">
        <v>55</v>
      </c>
      <c r="AG52" s="33" t="s">
        <v>166</v>
      </c>
      <c r="AH52" s="33">
        <v>3</v>
      </c>
      <c r="AI52" s="33">
        <v>1</v>
      </c>
      <c r="AJ52" s="140" t="s">
        <v>113</v>
      </c>
      <c r="AK52" s="33" t="s">
        <v>114</v>
      </c>
      <c r="AL52" s="61"/>
    </row>
    <row r="53" spans="14:38" ht="37.5" customHeight="1">
      <c r="N53" s="132">
        <f t="shared" si="5"/>
        <v>39</v>
      </c>
      <c r="O53" s="33" t="s">
        <v>71</v>
      </c>
      <c r="P53" s="33">
        <v>81.099999999999994</v>
      </c>
      <c r="Q53" s="33" t="s">
        <v>217</v>
      </c>
      <c r="R53" s="33" t="s">
        <v>238</v>
      </c>
      <c r="S53" s="33">
        <v>228.9</v>
      </c>
      <c r="T53" s="33" t="s">
        <v>112</v>
      </c>
      <c r="U53" s="33">
        <v>3</v>
      </c>
      <c r="V53" s="33">
        <v>1</v>
      </c>
      <c r="W53" s="140" t="s">
        <v>113</v>
      </c>
      <c r="X53" s="33" t="s">
        <v>114</v>
      </c>
      <c r="Y53" s="61"/>
      <c r="AA53" s="139" t="s">
        <v>86</v>
      </c>
      <c r="AB53" s="91"/>
      <c r="AC53" s="91"/>
      <c r="AD53" s="91"/>
      <c r="AE53" s="91"/>
      <c r="AF53" s="92"/>
      <c r="AG53" s="90" t="s">
        <v>87</v>
      </c>
      <c r="AH53" s="91"/>
      <c r="AI53" s="92"/>
      <c r="AJ53" s="90" t="s">
        <v>39</v>
      </c>
      <c r="AK53" s="91"/>
      <c r="AL53" s="101"/>
    </row>
    <row r="54" spans="14:38" ht="37.5" customHeight="1">
      <c r="N54" s="132">
        <f t="shared" si="5"/>
        <v>40</v>
      </c>
      <c r="O54" s="33" t="s">
        <v>71</v>
      </c>
      <c r="P54" s="33">
        <v>81.099999999999994</v>
      </c>
      <c r="Q54" s="33" t="s">
        <v>234</v>
      </c>
      <c r="R54" s="33" t="s">
        <v>241</v>
      </c>
      <c r="S54" s="33">
        <v>143.69999999999999</v>
      </c>
      <c r="T54" s="33" t="s">
        <v>112</v>
      </c>
      <c r="U54" s="33">
        <v>3</v>
      </c>
      <c r="V54" s="33">
        <v>1</v>
      </c>
      <c r="W54" s="140" t="s">
        <v>113</v>
      </c>
      <c r="X54" s="33" t="s">
        <v>114</v>
      </c>
      <c r="Y54" s="61"/>
      <c r="AA54" s="93" t="s">
        <v>40</v>
      </c>
      <c r="AB54" s="231" t="s">
        <v>133</v>
      </c>
      <c r="AC54" s="232"/>
      <c r="AD54" s="232"/>
      <c r="AE54" s="232"/>
      <c r="AF54" s="233"/>
      <c r="AG54" s="272"/>
      <c r="AH54" s="273"/>
      <c r="AI54" s="274"/>
      <c r="AJ54" s="272"/>
      <c r="AK54" s="273"/>
      <c r="AL54" s="275"/>
    </row>
    <row r="55" spans="14:38" ht="37.5" customHeight="1">
      <c r="N55" s="132">
        <f t="shared" si="5"/>
        <v>41</v>
      </c>
      <c r="O55" s="33" t="s">
        <v>71</v>
      </c>
      <c r="P55" s="33">
        <v>67.400000000000006</v>
      </c>
      <c r="Q55" s="33" t="s">
        <v>241</v>
      </c>
      <c r="R55" s="33" t="s">
        <v>242</v>
      </c>
      <c r="S55" s="33">
        <v>230.4</v>
      </c>
      <c r="T55" s="33" t="s">
        <v>112</v>
      </c>
      <c r="U55" s="33">
        <v>3</v>
      </c>
      <c r="V55" s="33">
        <v>1</v>
      </c>
      <c r="W55" s="140" t="s">
        <v>113</v>
      </c>
      <c r="X55" s="33" t="s">
        <v>114</v>
      </c>
      <c r="Y55" s="61"/>
      <c r="AA55" s="93" t="s">
        <v>41</v>
      </c>
      <c r="AB55" s="231" t="s">
        <v>140</v>
      </c>
      <c r="AC55" s="232"/>
      <c r="AD55" s="232"/>
      <c r="AE55" s="232"/>
      <c r="AF55" s="233"/>
      <c r="AG55" s="272"/>
      <c r="AH55" s="273"/>
      <c r="AI55" s="274"/>
      <c r="AJ55" s="272"/>
      <c r="AK55" s="273"/>
      <c r="AL55" s="275"/>
    </row>
    <row r="56" spans="14:38" ht="37.5" customHeight="1">
      <c r="N56" s="132">
        <f t="shared" si="5"/>
        <v>42</v>
      </c>
      <c r="O56" s="33" t="s">
        <v>71</v>
      </c>
      <c r="P56" s="33">
        <v>67.400000000000006</v>
      </c>
      <c r="Q56" s="33" t="s">
        <v>241</v>
      </c>
      <c r="R56" s="33" t="s">
        <v>243</v>
      </c>
      <c r="S56" s="33">
        <v>304.2</v>
      </c>
      <c r="T56" s="33" t="s">
        <v>112</v>
      </c>
      <c r="U56" s="33">
        <v>3</v>
      </c>
      <c r="V56" s="33">
        <v>1</v>
      </c>
      <c r="W56" s="140" t="s">
        <v>113</v>
      </c>
      <c r="X56" s="33" t="s">
        <v>114</v>
      </c>
      <c r="Y56" s="61"/>
      <c r="AA56" s="93" t="s">
        <v>42</v>
      </c>
      <c r="AB56" s="262"/>
      <c r="AC56" s="263"/>
      <c r="AD56" s="263"/>
      <c r="AE56" s="263"/>
      <c r="AF56" s="264"/>
      <c r="AG56" s="272"/>
      <c r="AH56" s="273"/>
      <c r="AI56" s="274"/>
      <c r="AJ56" s="272"/>
      <c r="AK56" s="273"/>
      <c r="AL56" s="275"/>
    </row>
    <row r="57" spans="14:38" ht="37.5" customHeight="1">
      <c r="N57" s="132">
        <f t="shared" si="5"/>
        <v>43</v>
      </c>
      <c r="O57" s="33" t="s">
        <v>71</v>
      </c>
      <c r="P57" s="33">
        <v>56.7</v>
      </c>
      <c r="Q57" s="33" t="s">
        <v>243</v>
      </c>
      <c r="R57" s="33" t="s">
        <v>244</v>
      </c>
      <c r="S57" s="33">
        <v>84.4</v>
      </c>
      <c r="T57" s="33" t="s">
        <v>112</v>
      </c>
      <c r="U57" s="33">
        <v>3</v>
      </c>
      <c r="V57" s="33">
        <v>1</v>
      </c>
      <c r="W57" s="140" t="s">
        <v>113</v>
      </c>
      <c r="X57" s="33" t="s">
        <v>114</v>
      </c>
      <c r="Y57" s="61"/>
      <c r="AA57" s="189" t="s">
        <v>43</v>
      </c>
      <c r="AB57" s="189"/>
      <c r="AC57" s="268"/>
      <c r="AD57" s="269"/>
      <c r="AE57" s="269"/>
      <c r="AF57" s="269"/>
      <c r="AG57" s="270"/>
      <c r="AH57" s="270"/>
      <c r="AI57" s="270"/>
      <c r="AJ57" s="270"/>
      <c r="AK57" s="270"/>
      <c r="AL57" s="270"/>
    </row>
    <row r="58" spans="14:38" ht="37.5" customHeight="1">
      <c r="N58" s="132">
        <f t="shared" si="5"/>
        <v>44</v>
      </c>
      <c r="O58" s="33" t="s">
        <v>71</v>
      </c>
      <c r="P58" s="33">
        <v>56.7</v>
      </c>
      <c r="Q58" s="33" t="s">
        <v>243</v>
      </c>
      <c r="R58" s="33" t="s">
        <v>245</v>
      </c>
      <c r="S58" s="33">
        <v>61.8</v>
      </c>
      <c r="T58" s="33" t="s">
        <v>112</v>
      </c>
      <c r="U58" s="33">
        <v>3</v>
      </c>
      <c r="V58" s="33">
        <v>1</v>
      </c>
      <c r="W58" s="140" t="s">
        <v>113</v>
      </c>
      <c r="X58" s="33" t="s">
        <v>114</v>
      </c>
      <c r="Y58" s="61"/>
    </row>
    <row r="59" spans="14:38" ht="37.5" customHeight="1">
      <c r="N59" s="132">
        <f t="shared" si="5"/>
        <v>45</v>
      </c>
      <c r="O59" s="33" t="s">
        <v>71</v>
      </c>
      <c r="P59" s="33">
        <v>56.7</v>
      </c>
      <c r="Q59" s="33" t="s">
        <v>245</v>
      </c>
      <c r="R59" s="33" t="s">
        <v>246</v>
      </c>
      <c r="S59" s="33">
        <v>22.3</v>
      </c>
      <c r="T59" s="33" t="s">
        <v>112</v>
      </c>
      <c r="U59" s="33">
        <v>3</v>
      </c>
      <c r="V59" s="33">
        <v>1</v>
      </c>
      <c r="W59" s="140" t="s">
        <v>113</v>
      </c>
      <c r="X59" s="33" t="s">
        <v>114</v>
      </c>
      <c r="Y59" s="61"/>
    </row>
    <row r="60" spans="14:38" ht="37.5" customHeight="1">
      <c r="N60" s="132">
        <f t="shared" si="5"/>
        <v>46</v>
      </c>
      <c r="O60" s="33" t="s">
        <v>71</v>
      </c>
      <c r="P60" s="33">
        <v>56.7</v>
      </c>
      <c r="Q60" s="33" t="s">
        <v>245</v>
      </c>
      <c r="R60" s="33" t="s">
        <v>244</v>
      </c>
      <c r="S60" s="33">
        <v>15</v>
      </c>
      <c r="T60" s="33" t="s">
        <v>112</v>
      </c>
      <c r="U60" s="33">
        <v>3</v>
      </c>
      <c r="V60" s="33">
        <v>1</v>
      </c>
      <c r="W60" s="140" t="s">
        <v>113</v>
      </c>
      <c r="X60" s="33" t="s">
        <v>114</v>
      </c>
      <c r="Y60" s="61"/>
    </row>
    <row r="61" spans="14:38" ht="37.5" customHeight="1">
      <c r="N61" s="132">
        <f t="shared" si="5"/>
        <v>47</v>
      </c>
      <c r="O61" s="33" t="s">
        <v>71</v>
      </c>
      <c r="P61" s="33">
        <v>56.7</v>
      </c>
      <c r="Q61" s="33" t="s">
        <v>244</v>
      </c>
      <c r="R61" s="33" t="s">
        <v>247</v>
      </c>
      <c r="S61" s="33">
        <v>35.799999999999997</v>
      </c>
      <c r="T61" s="33" t="s">
        <v>112</v>
      </c>
      <c r="U61" s="33">
        <v>3</v>
      </c>
      <c r="V61" s="33">
        <v>1</v>
      </c>
      <c r="W61" s="140" t="s">
        <v>113</v>
      </c>
      <c r="X61" s="33" t="s">
        <v>114</v>
      </c>
      <c r="Y61" s="61"/>
    </row>
    <row r="62" spans="14:38" ht="37.5" customHeight="1">
      <c r="N62" s="132">
        <f t="shared" si="5"/>
        <v>48</v>
      </c>
      <c r="O62" s="33" t="s">
        <v>71</v>
      </c>
      <c r="P62" s="33">
        <v>56.7</v>
      </c>
      <c r="Q62" s="33" t="s">
        <v>243</v>
      </c>
      <c r="R62" s="33" t="s">
        <v>248</v>
      </c>
      <c r="S62" s="33">
        <v>140.30000000000001</v>
      </c>
      <c r="T62" s="33" t="s">
        <v>112</v>
      </c>
      <c r="U62" s="33">
        <v>3</v>
      </c>
      <c r="V62" s="33">
        <v>1</v>
      </c>
      <c r="W62" s="140" t="s">
        <v>113</v>
      </c>
      <c r="X62" s="33" t="s">
        <v>114</v>
      </c>
      <c r="Y62" s="61"/>
    </row>
    <row r="63" spans="14:38" ht="37.5" customHeight="1">
      <c r="N63" s="271" t="s">
        <v>86</v>
      </c>
      <c r="O63" s="240"/>
      <c r="P63" s="240"/>
      <c r="Q63" s="240"/>
      <c r="R63" s="240"/>
      <c r="S63" s="241"/>
      <c r="T63" s="239" t="s">
        <v>87</v>
      </c>
      <c r="U63" s="240"/>
      <c r="V63" s="241"/>
      <c r="W63" s="239" t="s">
        <v>39</v>
      </c>
      <c r="X63" s="240"/>
      <c r="Y63" s="242"/>
    </row>
    <row r="64" spans="14:38" ht="37.5" customHeight="1">
      <c r="N64" s="93" t="s">
        <v>40</v>
      </c>
      <c r="O64" s="272" t="s">
        <v>133</v>
      </c>
      <c r="P64" s="273"/>
      <c r="Q64" s="273"/>
      <c r="R64" s="273"/>
      <c r="S64" s="274"/>
      <c r="T64" s="94"/>
      <c r="U64" s="95"/>
      <c r="V64" s="96"/>
      <c r="W64" s="94"/>
      <c r="X64" s="95"/>
      <c r="Y64" s="102"/>
    </row>
    <row r="65" spans="14:25" ht="37.5" customHeight="1">
      <c r="N65" s="93" t="s">
        <v>41</v>
      </c>
      <c r="O65" s="272" t="s">
        <v>140</v>
      </c>
      <c r="P65" s="273"/>
      <c r="Q65" s="273"/>
      <c r="R65" s="273"/>
      <c r="S65" s="274"/>
      <c r="T65" s="94"/>
      <c r="U65" s="95"/>
      <c r="V65" s="96"/>
      <c r="W65" s="94"/>
      <c r="X65" s="95"/>
      <c r="Y65" s="102"/>
    </row>
    <row r="66" spans="14:25" ht="37.5" customHeight="1">
      <c r="N66" s="93" t="s">
        <v>42</v>
      </c>
      <c r="O66" s="262"/>
      <c r="P66" s="263"/>
      <c r="Q66" s="263"/>
      <c r="R66" s="263"/>
      <c r="S66" s="264"/>
      <c r="T66" s="94"/>
      <c r="U66" s="95"/>
      <c r="V66" s="96"/>
      <c r="W66" s="94"/>
      <c r="X66" s="95"/>
      <c r="Y66" s="102"/>
    </row>
    <row r="67" spans="14:25" ht="37.5" customHeight="1">
      <c r="N67" s="245" t="s">
        <v>43</v>
      </c>
      <c r="O67" s="246"/>
      <c r="P67" s="265"/>
      <c r="Q67" s="266"/>
      <c r="R67" s="266"/>
      <c r="S67" s="267"/>
      <c r="T67" s="250"/>
      <c r="U67" s="251"/>
      <c r="V67" s="252"/>
      <c r="W67" s="250"/>
      <c r="X67" s="251"/>
      <c r="Y67" s="253"/>
    </row>
    <row r="68" spans="14:25" ht="37.5" customHeight="1"/>
    <row r="69" spans="14:25" ht="37.5" customHeight="1"/>
    <row r="70" spans="14:25" ht="37.5" customHeight="1"/>
    <row r="71" spans="14:25" ht="37.5" customHeight="1"/>
    <row r="72" spans="14:25" ht="37.5" customHeight="1"/>
    <row r="73" spans="14:25" ht="37.5" customHeight="1"/>
    <row r="74" spans="14:25" ht="37.5" customHeight="1"/>
    <row r="75" spans="14:25" ht="37.5" customHeight="1"/>
    <row r="76" spans="14:25" ht="37.5" customHeight="1"/>
    <row r="77" spans="14:25" ht="37.5" customHeight="1"/>
    <row r="78" spans="14:25" ht="37.5" customHeight="1"/>
    <row r="79" spans="14:25" ht="37.5" customHeight="1"/>
    <row r="80" spans="14:25" ht="37.5" customHeight="1"/>
    <row r="81" ht="37.5" customHeight="1"/>
    <row r="82" ht="37.5" customHeight="1"/>
    <row r="83" ht="37.5" customHeight="1"/>
    <row r="84" ht="37.5" customHeight="1"/>
    <row r="85" ht="37.5" customHeight="1"/>
    <row r="86" ht="37.5" customHeight="1"/>
    <row r="87" ht="37.5" customHeight="1"/>
    <row r="88" ht="37.5" customHeight="1"/>
    <row r="89" ht="37.5" customHeight="1"/>
    <row r="90" ht="37.5" customHeight="1"/>
    <row r="91" ht="37.5" customHeight="1"/>
    <row r="92" ht="37.5" customHeight="1"/>
    <row r="93" ht="37.5" customHeight="1"/>
    <row r="94" ht="37.5" customHeight="1"/>
    <row r="95" ht="37.5" customHeight="1"/>
    <row r="96" ht="37.5" customHeight="1"/>
    <row r="97" ht="37.5" customHeight="1"/>
    <row r="98" ht="37.5" customHeight="1"/>
    <row r="99" ht="37.5" customHeight="1"/>
    <row r="100" ht="37.5" customHeight="1"/>
    <row r="101" ht="37.5" customHeight="1"/>
    <row r="102" ht="37.5" customHeight="1"/>
    <row r="103" ht="37.5" customHeight="1"/>
    <row r="104" ht="37.5" customHeight="1"/>
    <row r="105" ht="37.5" customHeight="1"/>
    <row r="106" ht="37.5" customHeight="1"/>
    <row r="107" ht="37.5" customHeight="1"/>
    <row r="108" ht="37.5" customHeight="1"/>
    <row r="109" ht="37.5" customHeight="1"/>
    <row r="110" ht="37.5" customHeight="1"/>
    <row r="111" ht="37.5" customHeight="1"/>
    <row r="112" ht="37.5" customHeight="1"/>
    <row r="113" ht="37.5" customHeight="1"/>
    <row r="114" ht="37.5" customHeight="1"/>
    <row r="115" ht="37.5" customHeight="1"/>
    <row r="116" ht="37.5" customHeight="1"/>
    <row r="117" ht="37.5" customHeight="1"/>
    <row r="118" ht="37.5" customHeight="1"/>
    <row r="119" ht="37.5" customHeight="1"/>
    <row r="120" ht="37.5" customHeight="1"/>
    <row r="121" ht="37.5" customHeight="1"/>
    <row r="122" ht="37.5" customHeight="1"/>
    <row r="123" ht="37.5" customHeight="1"/>
    <row r="124" ht="37.5" customHeight="1"/>
    <row r="125" ht="37.5" customHeight="1"/>
    <row r="126" ht="37.5" customHeight="1"/>
    <row r="127" ht="37.5" customHeight="1"/>
    <row r="128" ht="37.5" customHeight="1"/>
    <row r="129" ht="37.5" customHeight="1"/>
    <row r="130" ht="37.5" customHeight="1"/>
    <row r="131" ht="37.5" customHeight="1"/>
    <row r="132" ht="37.5" customHeight="1"/>
    <row r="133" ht="37.5" customHeight="1"/>
    <row r="134" ht="37.5" customHeight="1"/>
    <row r="135" ht="37.5" customHeight="1"/>
    <row r="136" ht="37.5" customHeight="1"/>
    <row r="137" ht="37.5" customHeight="1"/>
    <row r="138" ht="37.5" customHeight="1"/>
    <row r="139" ht="37.5" customHeight="1"/>
    <row r="140" ht="37.5" customHeight="1"/>
    <row r="141" ht="37.5" customHeight="1"/>
    <row r="142" ht="37.5" customHeight="1"/>
    <row r="143" ht="37.5" customHeight="1"/>
    <row r="144" ht="37.5" customHeight="1"/>
    <row r="145" ht="37.5" customHeight="1"/>
    <row r="146" ht="37.5" customHeight="1"/>
    <row r="147" ht="37.5" customHeight="1"/>
    <row r="148" ht="37.5" customHeight="1"/>
    <row r="149" ht="37.5" customHeight="1"/>
    <row r="150" ht="37.5" customHeight="1"/>
    <row r="151" ht="37.5" customHeight="1"/>
    <row r="152" ht="37.5" customHeight="1"/>
    <row r="153" ht="37.5" customHeight="1"/>
    <row r="154" ht="37.5" customHeight="1"/>
    <row r="155" ht="37.5" customHeight="1"/>
    <row r="156" ht="37.5" customHeight="1"/>
    <row r="157" ht="37.5" customHeight="1"/>
    <row r="158" ht="37.5" customHeight="1"/>
    <row r="159" ht="37.5" customHeight="1"/>
    <row r="160" ht="37.5" customHeight="1"/>
    <row r="161" ht="37.5" customHeight="1"/>
    <row r="162" ht="37.5" customHeight="1"/>
    <row r="163" ht="37.5" customHeight="1"/>
    <row r="164" ht="37.5" customHeight="1"/>
    <row r="165" ht="37.5" customHeight="1"/>
    <row r="166" ht="37.5" customHeight="1"/>
    <row r="167" ht="37.5" customHeight="1"/>
    <row r="168" ht="37.5" customHeight="1"/>
    <row r="169" ht="37.5" customHeight="1"/>
    <row r="170" ht="37.5" customHeight="1"/>
    <row r="171" ht="37.5" customHeight="1"/>
    <row r="172" ht="37.5" customHeight="1"/>
    <row r="173" ht="37.5" customHeight="1"/>
    <row r="174" ht="37.5" customHeight="1"/>
    <row r="175" ht="37.5" customHeight="1"/>
    <row r="176" ht="37.5" customHeight="1"/>
    <row r="177" ht="37.5" customHeight="1"/>
    <row r="178" ht="37.5" customHeight="1"/>
    <row r="179" ht="37.5" customHeight="1"/>
    <row r="180" ht="37.5" customHeight="1"/>
    <row r="181" ht="37.5" customHeight="1"/>
    <row r="182" ht="37.5" customHeight="1"/>
    <row r="183" ht="37.5" customHeight="1"/>
    <row r="184" ht="37.5" customHeight="1"/>
    <row r="185" ht="37.5" customHeight="1"/>
    <row r="186" ht="37.5" customHeight="1"/>
    <row r="187" ht="37.5" customHeight="1"/>
    <row r="188" ht="37.5" customHeight="1"/>
    <row r="189" ht="37.5" customHeight="1"/>
    <row r="190" ht="37.5" customHeight="1"/>
    <row r="191" ht="37.5" customHeight="1"/>
    <row r="192" ht="37.5" customHeight="1"/>
    <row r="193" ht="37.5" customHeight="1"/>
    <row r="194" ht="37.5" customHeight="1"/>
    <row r="195" ht="37.5" customHeight="1"/>
    <row r="196" ht="37.5" customHeight="1"/>
    <row r="197" ht="37.5" customHeight="1"/>
    <row r="198" ht="37.5" customHeight="1"/>
    <row r="199" ht="37.5" customHeight="1"/>
    <row r="200" ht="37.5" customHeight="1"/>
    <row r="201" ht="37.5" customHeight="1"/>
    <row r="202" ht="37.5" customHeight="1"/>
    <row r="203" ht="37.5" customHeight="1"/>
    <row r="204" ht="37.5" customHeight="1"/>
    <row r="205" ht="37.5" customHeight="1"/>
    <row r="206" ht="37.5" customHeight="1"/>
    <row r="207" ht="37.5" customHeight="1"/>
    <row r="208" ht="37.5" customHeight="1"/>
    <row r="209" ht="37.5" customHeight="1"/>
    <row r="210" ht="37.5" customHeight="1"/>
    <row r="211" ht="37.5" customHeight="1"/>
    <row r="212" ht="37.5" customHeight="1"/>
    <row r="213" ht="37.5" customHeight="1"/>
    <row r="214" ht="37.5" customHeight="1"/>
    <row r="215" ht="37.5" customHeight="1"/>
    <row r="216" ht="37.5" customHeight="1"/>
    <row r="217" ht="37.5" customHeight="1"/>
    <row r="218" ht="37.5" customHeight="1"/>
    <row r="219" ht="37.5" customHeight="1"/>
    <row r="220" ht="37.5" customHeight="1"/>
    <row r="221" ht="37.5" customHeight="1"/>
    <row r="222" ht="37.5" customHeight="1"/>
    <row r="223" ht="37.5" customHeight="1"/>
  </sheetData>
  <mergeCells count="165">
    <mergeCell ref="A5:B5"/>
    <mergeCell ref="N5:O5"/>
    <mergeCell ref="AA5:AB5"/>
    <mergeCell ref="AN5:AO5"/>
    <mergeCell ref="BA5:BB5"/>
    <mergeCell ref="A6:B6"/>
    <mergeCell ref="N6:O6"/>
    <mergeCell ref="AA6:AB6"/>
    <mergeCell ref="AN6:AO6"/>
    <mergeCell ref="BA6:BB6"/>
    <mergeCell ref="A7:B7"/>
    <mergeCell ref="N7:O7"/>
    <mergeCell ref="AA7:AB7"/>
    <mergeCell ref="AN7:AO7"/>
    <mergeCell ref="BA7:BB7"/>
    <mergeCell ref="A8:B8"/>
    <mergeCell ref="N8:O8"/>
    <mergeCell ref="AA8:AB8"/>
    <mergeCell ref="AN8:AO8"/>
    <mergeCell ref="BA8:BB8"/>
    <mergeCell ref="A9:L9"/>
    <mergeCell ref="N9:Y9"/>
    <mergeCell ref="AA9:AL9"/>
    <mergeCell ref="AN9:AY9"/>
    <mergeCell ref="BA9:BL9"/>
    <mergeCell ref="A11:L11"/>
    <mergeCell ref="N11:Y11"/>
    <mergeCell ref="AA11:AL11"/>
    <mergeCell ref="AN11:AY11"/>
    <mergeCell ref="BA11:BL11"/>
    <mergeCell ref="H13:J13"/>
    <mergeCell ref="U13:W13"/>
    <mergeCell ref="AH13:AJ13"/>
    <mergeCell ref="AU13:AW13"/>
    <mergeCell ref="BH13:BJ13"/>
    <mergeCell ref="A17:B17"/>
    <mergeCell ref="C17:F17"/>
    <mergeCell ref="G17:I17"/>
    <mergeCell ref="J17:L17"/>
    <mergeCell ref="Y13:Y14"/>
    <mergeCell ref="AL13:AL14"/>
    <mergeCell ref="AY13:AY14"/>
    <mergeCell ref="A18:B18"/>
    <mergeCell ref="C18:F18"/>
    <mergeCell ref="G18:I18"/>
    <mergeCell ref="J18:L18"/>
    <mergeCell ref="A19:B19"/>
    <mergeCell ref="C19:F19"/>
    <mergeCell ref="G19:I19"/>
    <mergeCell ref="J19:L19"/>
    <mergeCell ref="BA19:BF19"/>
    <mergeCell ref="BG19:BI19"/>
    <mergeCell ref="BJ19:BL19"/>
    <mergeCell ref="A20:B20"/>
    <mergeCell ref="C20:F20"/>
    <mergeCell ref="G20:I20"/>
    <mergeCell ref="J20:L20"/>
    <mergeCell ref="BB20:BF20"/>
    <mergeCell ref="BG20:BI20"/>
    <mergeCell ref="BJ20:BL20"/>
    <mergeCell ref="A21:B21"/>
    <mergeCell ref="C21:F21"/>
    <mergeCell ref="G21:I21"/>
    <mergeCell ref="J21:L21"/>
    <mergeCell ref="BB21:BF21"/>
    <mergeCell ref="BG21:BI21"/>
    <mergeCell ref="BJ21:BL21"/>
    <mergeCell ref="BB22:BF22"/>
    <mergeCell ref="BG22:BI22"/>
    <mergeCell ref="BJ22:BL22"/>
    <mergeCell ref="BA23:BB23"/>
    <mergeCell ref="BC23:BF23"/>
    <mergeCell ref="BG23:BI23"/>
    <mergeCell ref="BJ23:BL23"/>
    <mergeCell ref="AN38:AS38"/>
    <mergeCell ref="AT38:AV38"/>
    <mergeCell ref="AW38:AY38"/>
    <mergeCell ref="AO39:AS39"/>
    <mergeCell ref="AT39:AV39"/>
    <mergeCell ref="AW39:AY39"/>
    <mergeCell ref="AO40:AS40"/>
    <mergeCell ref="AT40:AV40"/>
    <mergeCell ref="AW40:AY40"/>
    <mergeCell ref="AO41:AS41"/>
    <mergeCell ref="AT41:AV41"/>
    <mergeCell ref="AW41:AY41"/>
    <mergeCell ref="AN42:AO42"/>
    <mergeCell ref="AP42:AS42"/>
    <mergeCell ref="AT42:AV42"/>
    <mergeCell ref="AW42:AY42"/>
    <mergeCell ref="AB54:AF54"/>
    <mergeCell ref="AG54:AI54"/>
    <mergeCell ref="AJ54:AL54"/>
    <mergeCell ref="AB55:AF55"/>
    <mergeCell ref="AG55:AI55"/>
    <mergeCell ref="AJ55:AL55"/>
    <mergeCell ref="AB56:AF56"/>
    <mergeCell ref="AG56:AI56"/>
    <mergeCell ref="AJ56:AL56"/>
    <mergeCell ref="AA57:AB57"/>
    <mergeCell ref="AC57:AF57"/>
    <mergeCell ref="AG57:AI57"/>
    <mergeCell ref="AJ57:AL57"/>
    <mergeCell ref="N63:S63"/>
    <mergeCell ref="T63:V63"/>
    <mergeCell ref="W63:Y63"/>
    <mergeCell ref="O64:S64"/>
    <mergeCell ref="O65:S65"/>
    <mergeCell ref="O66:S66"/>
    <mergeCell ref="N67:O67"/>
    <mergeCell ref="P67:S67"/>
    <mergeCell ref="T67:V67"/>
    <mergeCell ref="W67:Y67"/>
    <mergeCell ref="A1:A4"/>
    <mergeCell ref="A13:A14"/>
    <mergeCell ref="B13:B14"/>
    <mergeCell ref="C13:C14"/>
    <mergeCell ref="D13:D14"/>
    <mergeCell ref="E13:E14"/>
    <mergeCell ref="F13:F14"/>
    <mergeCell ref="G13:G14"/>
    <mergeCell ref="K13:K14"/>
    <mergeCell ref="L13:L14"/>
    <mergeCell ref="N1:N4"/>
    <mergeCell ref="N13:N14"/>
    <mergeCell ref="O13:O14"/>
    <mergeCell ref="P13:P14"/>
    <mergeCell ref="Q13:Q14"/>
    <mergeCell ref="R13:R14"/>
    <mergeCell ref="S13:S14"/>
    <mergeCell ref="T13:T14"/>
    <mergeCell ref="X13:X14"/>
    <mergeCell ref="AA1:AA4"/>
    <mergeCell ref="AA13:AA14"/>
    <mergeCell ref="AB13:AB14"/>
    <mergeCell ref="AC13:AC14"/>
    <mergeCell ref="AD13:AD14"/>
    <mergeCell ref="AE13:AE14"/>
    <mergeCell ref="AF13:AF14"/>
    <mergeCell ref="AG13:AG14"/>
    <mergeCell ref="AK13:AK14"/>
    <mergeCell ref="BL13:BL14"/>
    <mergeCell ref="B1:H4"/>
    <mergeCell ref="O1:U4"/>
    <mergeCell ref="AB1:AH4"/>
    <mergeCell ref="AO1:AU4"/>
    <mergeCell ref="BB1:BH4"/>
    <mergeCell ref="BA1:BA4"/>
    <mergeCell ref="BA13:BA14"/>
    <mergeCell ref="BB13:BB14"/>
    <mergeCell ref="BC13:BC14"/>
    <mergeCell ref="BD13:BD14"/>
    <mergeCell ref="BE13:BE14"/>
    <mergeCell ref="BF13:BF14"/>
    <mergeCell ref="BG13:BG14"/>
    <mergeCell ref="BK13:BK14"/>
    <mergeCell ref="AN1:AN4"/>
    <mergeCell ref="AN13:AN14"/>
    <mergeCell ref="AO13:AO14"/>
    <mergeCell ref="AP13:AP14"/>
    <mergeCell ref="AQ13:AQ14"/>
    <mergeCell ref="AR13:AR14"/>
    <mergeCell ref="AS13:AS14"/>
    <mergeCell ref="AT13:AT14"/>
    <mergeCell ref="AX13:AX14"/>
  </mergeCells>
  <printOptions horizontalCentered="1"/>
  <pageMargins left="0.23622047244094499" right="0.23622047244094499" top="0.74803149606299202" bottom="0.74803149606299202" header="0.31496062992126" footer="0.31496062992126"/>
  <pageSetup scale="75"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7"/>
  <sheetViews>
    <sheetView view="pageBreakPreview" topLeftCell="A3" zoomScale="85" zoomScaleNormal="115" workbookViewId="0">
      <selection activeCell="O18" sqref="O18"/>
    </sheetView>
  </sheetViews>
  <sheetFormatPr defaultColWidth="12.28515625" defaultRowHeight="15"/>
  <cols>
    <col min="1" max="1" width="13.42578125" customWidth="1"/>
    <col min="8" max="8" width="18.85546875" customWidth="1"/>
    <col min="9" max="9" width="18.5703125" customWidth="1"/>
    <col min="10" max="10" width="10.85546875" customWidth="1"/>
    <col min="11" max="11" width="11.85546875" customWidth="1"/>
    <col min="12" max="12" width="11.28515625" customWidth="1"/>
  </cols>
  <sheetData>
    <row r="1" spans="1:14" ht="15" customHeight="1">
      <c r="A1" s="206"/>
      <c r="B1" s="211" t="s">
        <v>44</v>
      </c>
      <c r="C1" s="212"/>
      <c r="D1" s="212"/>
      <c r="E1" s="212"/>
      <c r="F1" s="212"/>
      <c r="G1" s="212"/>
      <c r="H1" s="213"/>
      <c r="I1" s="2"/>
      <c r="J1" s="20"/>
      <c r="K1" s="20"/>
      <c r="L1" s="21"/>
    </row>
    <row r="2" spans="1:14" ht="15" customHeight="1">
      <c r="A2" s="207"/>
      <c r="B2" s="214"/>
      <c r="C2" s="215"/>
      <c r="D2" s="215"/>
      <c r="E2" s="215"/>
      <c r="F2" s="215"/>
      <c r="G2" s="215"/>
      <c r="H2" s="216"/>
      <c r="I2" s="4"/>
      <c r="L2" s="22"/>
    </row>
    <row r="3" spans="1:14" ht="15" customHeight="1">
      <c r="A3" s="207"/>
      <c r="B3" s="214"/>
      <c r="C3" s="215"/>
      <c r="D3" s="215"/>
      <c r="E3" s="215"/>
      <c r="F3" s="215"/>
      <c r="G3" s="215"/>
      <c r="H3" s="216"/>
      <c r="I3" s="4"/>
      <c r="L3" s="22"/>
    </row>
    <row r="4" spans="1:14" ht="15.75" customHeight="1">
      <c r="A4" s="207"/>
      <c r="B4" s="214"/>
      <c r="C4" s="215"/>
      <c r="D4" s="215"/>
      <c r="E4" s="215"/>
      <c r="F4" s="215"/>
      <c r="G4" s="215"/>
      <c r="H4" s="216"/>
      <c r="I4" s="4"/>
      <c r="L4" s="22"/>
    </row>
    <row r="5" spans="1:14" ht="28.5" customHeight="1">
      <c r="A5" s="223" t="s">
        <v>45</v>
      </c>
      <c r="B5" s="224"/>
      <c r="C5" s="7" t="s">
        <v>46</v>
      </c>
      <c r="D5" s="8"/>
      <c r="E5" s="8"/>
      <c r="F5" s="8"/>
      <c r="G5" s="8"/>
      <c r="H5" s="8"/>
      <c r="I5" s="8"/>
      <c r="J5" s="8"/>
      <c r="K5" s="8"/>
      <c r="L5" s="23"/>
      <c r="N5" t="s">
        <v>47</v>
      </c>
    </row>
    <row r="6" spans="1:14" ht="18" customHeight="1">
      <c r="A6" s="223" t="s">
        <v>48</v>
      </c>
      <c r="B6" s="224"/>
      <c r="C6" s="7" t="s">
        <v>49</v>
      </c>
      <c r="D6" s="8"/>
      <c r="E6" s="8"/>
      <c r="F6" s="8"/>
      <c r="G6" s="8"/>
      <c r="H6" s="8"/>
      <c r="I6" s="8"/>
      <c r="J6" s="8"/>
      <c r="K6" s="8"/>
      <c r="L6" s="23"/>
    </row>
    <row r="7" spans="1:14" ht="18" customHeight="1">
      <c r="A7" s="225" t="s">
        <v>50</v>
      </c>
      <c r="B7" s="226"/>
      <c r="C7" s="7" t="s">
        <v>51</v>
      </c>
      <c r="D7" s="8"/>
      <c r="E7" s="8"/>
      <c r="F7" s="8"/>
      <c r="G7" s="8"/>
      <c r="H7" s="8"/>
      <c r="I7" s="8"/>
      <c r="J7" s="8"/>
      <c r="K7" s="8"/>
      <c r="L7" s="23"/>
    </row>
    <row r="8" spans="1:14" ht="18" customHeight="1">
      <c r="A8" s="223" t="s">
        <v>52</v>
      </c>
      <c r="B8" s="224"/>
      <c r="C8" s="7" t="s">
        <v>53</v>
      </c>
      <c r="D8" s="8"/>
      <c r="E8" s="8"/>
      <c r="F8" s="8"/>
      <c r="G8" s="8"/>
      <c r="H8" s="8"/>
      <c r="I8" s="8"/>
      <c r="J8" s="8"/>
      <c r="K8" s="8"/>
      <c r="L8" s="23"/>
    </row>
    <row r="9" spans="1:14" ht="15.75" customHeight="1">
      <c r="A9" s="227" t="s">
        <v>249</v>
      </c>
      <c r="B9" s="228"/>
      <c r="C9" s="228"/>
      <c r="D9" s="228"/>
      <c r="E9" s="228"/>
      <c r="F9" s="228"/>
      <c r="G9" s="228"/>
      <c r="H9" s="228"/>
      <c r="I9" s="228"/>
      <c r="J9" s="228"/>
      <c r="K9" s="228"/>
      <c r="L9" s="229"/>
    </row>
    <row r="10" spans="1:14" ht="21.75" customHeight="1">
      <c r="A10" s="11" t="s">
        <v>55</v>
      </c>
      <c r="B10" s="71">
        <v>44968</v>
      </c>
      <c r="C10" s="12"/>
      <c r="D10" s="12"/>
      <c r="E10" s="12"/>
      <c r="F10" s="12"/>
      <c r="G10" s="24" t="s">
        <v>56</v>
      </c>
      <c r="H10" s="72">
        <v>44968</v>
      </c>
      <c r="I10" s="12"/>
      <c r="J10" s="12"/>
      <c r="K10" s="12"/>
      <c r="L10" s="26"/>
    </row>
    <row r="11" spans="1:14" ht="21.75" customHeight="1">
      <c r="A11" s="217"/>
      <c r="B11" s="218"/>
      <c r="C11" s="218"/>
      <c r="D11" s="218"/>
      <c r="E11" s="218"/>
      <c r="F11" s="218"/>
      <c r="G11" s="218"/>
      <c r="H11" s="218"/>
      <c r="I11" s="218"/>
      <c r="J11" s="218"/>
      <c r="K11" s="218"/>
      <c r="L11" s="219"/>
    </row>
    <row r="12" spans="1:14" ht="22.5" customHeight="1">
      <c r="A12" s="11" t="s">
        <v>250</v>
      </c>
      <c r="B12" s="73"/>
      <c r="C12" s="73"/>
      <c r="D12" s="81"/>
      <c r="E12" s="24"/>
      <c r="F12" s="25"/>
      <c r="G12" s="24" t="s">
        <v>58</v>
      </c>
      <c r="H12" s="82">
        <v>44968</v>
      </c>
      <c r="I12" s="74"/>
      <c r="J12" s="74"/>
      <c r="K12" s="74"/>
      <c r="L12" s="80"/>
    </row>
    <row r="13" spans="1:14" ht="15" customHeight="1">
      <c r="A13" s="208" t="s">
        <v>59</v>
      </c>
      <c r="B13" s="209" t="s">
        <v>60</v>
      </c>
      <c r="C13" s="210" t="s">
        <v>61</v>
      </c>
      <c r="D13" s="210" t="s">
        <v>62</v>
      </c>
      <c r="E13" s="210" t="s">
        <v>63</v>
      </c>
      <c r="F13" s="210" t="s">
        <v>64</v>
      </c>
      <c r="G13" s="243" t="s">
        <v>251</v>
      </c>
      <c r="H13" s="220" t="s">
        <v>66</v>
      </c>
      <c r="I13" s="221"/>
      <c r="J13" s="222"/>
      <c r="K13" s="209" t="s">
        <v>30</v>
      </c>
      <c r="L13" s="244" t="s">
        <v>67</v>
      </c>
    </row>
    <row r="14" spans="1:14" ht="44.25" customHeight="1">
      <c r="A14" s="208"/>
      <c r="B14" s="209"/>
      <c r="C14" s="210"/>
      <c r="D14" s="210"/>
      <c r="E14" s="210"/>
      <c r="F14" s="210"/>
      <c r="G14" s="243"/>
      <c r="H14" s="16" t="s">
        <v>68</v>
      </c>
      <c r="I14" s="62" t="s">
        <v>69</v>
      </c>
      <c r="J14" s="16" t="s">
        <v>70</v>
      </c>
      <c r="K14" s="209"/>
      <c r="L14" s="244"/>
    </row>
    <row r="15" spans="1:14" ht="25.5" customHeight="1">
      <c r="A15" s="15">
        <v>1</v>
      </c>
      <c r="B15" s="85" t="s">
        <v>71</v>
      </c>
      <c r="C15" s="85">
        <v>99.3</v>
      </c>
      <c r="D15" s="85" t="s">
        <v>252</v>
      </c>
      <c r="E15" s="85" t="s">
        <v>253</v>
      </c>
      <c r="F15" s="87">
        <v>642</v>
      </c>
      <c r="G15" s="87">
        <v>5.5</v>
      </c>
      <c r="H15" s="33" t="s">
        <v>254</v>
      </c>
      <c r="I15" s="33" t="s">
        <v>255</v>
      </c>
      <c r="J15" s="33" t="s">
        <v>256</v>
      </c>
      <c r="K15" s="61"/>
      <c r="L15" s="100"/>
    </row>
    <row r="16" spans="1:14" ht="21" customHeight="1">
      <c r="A16" s="15">
        <f>A15+1</f>
        <v>2</v>
      </c>
      <c r="B16" s="85" t="s">
        <v>71</v>
      </c>
      <c r="C16" s="85">
        <v>99.3</v>
      </c>
      <c r="D16" s="85" t="s">
        <v>257</v>
      </c>
      <c r="E16" s="85" t="s">
        <v>258</v>
      </c>
      <c r="F16" s="87">
        <v>216</v>
      </c>
      <c r="G16" s="87">
        <v>5.5</v>
      </c>
      <c r="H16" s="33" t="s">
        <v>254</v>
      </c>
      <c r="I16" s="33" t="s">
        <v>255</v>
      </c>
      <c r="J16" s="33" t="s">
        <v>256</v>
      </c>
      <c r="K16" s="61"/>
      <c r="L16" s="100"/>
    </row>
    <row r="17" spans="1:12" ht="23.25" customHeight="1">
      <c r="A17" s="15">
        <f t="shared" ref="A17:A31" si="0">A16+1</f>
        <v>3</v>
      </c>
      <c r="B17" s="85" t="s">
        <v>71</v>
      </c>
      <c r="C17" s="85">
        <v>99.3</v>
      </c>
      <c r="D17" s="85" t="s">
        <v>258</v>
      </c>
      <c r="E17" s="85" t="s">
        <v>259</v>
      </c>
      <c r="F17" s="87">
        <v>107</v>
      </c>
      <c r="G17" s="87">
        <v>5.5</v>
      </c>
      <c r="H17" s="33" t="s">
        <v>254</v>
      </c>
      <c r="I17" s="33" t="s">
        <v>255</v>
      </c>
      <c r="J17" s="33" t="s">
        <v>256</v>
      </c>
      <c r="K17" s="61"/>
      <c r="L17" s="100"/>
    </row>
    <row r="18" spans="1:12" ht="23.25" customHeight="1">
      <c r="A18" s="15">
        <f t="shared" si="0"/>
        <v>4</v>
      </c>
      <c r="B18" s="85" t="s">
        <v>71</v>
      </c>
      <c r="C18" s="85">
        <v>99.3</v>
      </c>
      <c r="D18" s="85" t="s">
        <v>259</v>
      </c>
      <c r="E18" s="85" t="s">
        <v>260</v>
      </c>
      <c r="F18" s="87">
        <v>43</v>
      </c>
      <c r="G18" s="87">
        <v>5.5</v>
      </c>
      <c r="H18" s="33" t="s">
        <v>254</v>
      </c>
      <c r="I18" s="33" t="s">
        <v>255</v>
      </c>
      <c r="J18" s="33" t="s">
        <v>256</v>
      </c>
      <c r="K18" s="61"/>
      <c r="L18" s="100"/>
    </row>
    <row r="19" spans="1:12" ht="26.25" customHeight="1">
      <c r="A19" s="15">
        <f t="shared" si="0"/>
        <v>5</v>
      </c>
      <c r="B19" s="85" t="s">
        <v>71</v>
      </c>
      <c r="C19" s="85">
        <v>99.3</v>
      </c>
      <c r="D19" s="85" t="s">
        <v>260</v>
      </c>
      <c r="E19" s="85" t="s">
        <v>261</v>
      </c>
      <c r="F19" s="87">
        <v>14</v>
      </c>
      <c r="G19" s="87">
        <v>5.5</v>
      </c>
      <c r="H19" s="33" t="s">
        <v>254</v>
      </c>
      <c r="I19" s="33" t="s">
        <v>255</v>
      </c>
      <c r="J19" s="33" t="s">
        <v>256</v>
      </c>
      <c r="K19" s="61"/>
      <c r="L19" s="100"/>
    </row>
    <row r="20" spans="1:12" ht="21" customHeight="1">
      <c r="A20" s="15">
        <f t="shared" si="0"/>
        <v>6</v>
      </c>
      <c r="B20" s="85" t="s">
        <v>71</v>
      </c>
      <c r="C20" s="85">
        <v>99.3</v>
      </c>
      <c r="D20" s="85" t="s">
        <v>261</v>
      </c>
      <c r="E20" s="85" t="s">
        <v>262</v>
      </c>
      <c r="F20" s="87">
        <v>48</v>
      </c>
      <c r="G20" s="87">
        <v>5.5</v>
      </c>
      <c r="H20" s="33" t="s">
        <v>254</v>
      </c>
      <c r="I20" s="33" t="s">
        <v>255</v>
      </c>
      <c r="J20" s="33" t="s">
        <v>256</v>
      </c>
      <c r="K20" s="61"/>
      <c r="L20" s="100"/>
    </row>
    <row r="21" spans="1:12" ht="21.75" customHeight="1">
      <c r="A21" s="15">
        <f t="shared" si="0"/>
        <v>7</v>
      </c>
      <c r="B21" s="85" t="s">
        <v>71</v>
      </c>
      <c r="C21" s="85">
        <v>99.3</v>
      </c>
      <c r="D21" s="85" t="s">
        <v>262</v>
      </c>
      <c r="E21" s="85" t="s">
        <v>263</v>
      </c>
      <c r="F21" s="87">
        <v>42</v>
      </c>
      <c r="G21" s="87">
        <v>5.5</v>
      </c>
      <c r="H21" s="33" t="s">
        <v>254</v>
      </c>
      <c r="I21" s="33" t="s">
        <v>255</v>
      </c>
      <c r="J21" s="33" t="s">
        <v>256</v>
      </c>
      <c r="K21" s="61"/>
      <c r="L21" s="100"/>
    </row>
    <row r="22" spans="1:12" ht="21" customHeight="1">
      <c r="A22" s="15">
        <f t="shared" si="0"/>
        <v>8</v>
      </c>
      <c r="B22" s="85" t="s">
        <v>71</v>
      </c>
      <c r="C22" s="85">
        <v>99.3</v>
      </c>
      <c r="D22" s="85" t="s">
        <v>264</v>
      </c>
      <c r="E22" s="85" t="s">
        <v>265</v>
      </c>
      <c r="F22" s="87">
        <v>271</v>
      </c>
      <c r="G22" s="87">
        <v>5.5</v>
      </c>
      <c r="H22" s="33" t="s">
        <v>254</v>
      </c>
      <c r="I22" s="33" t="s">
        <v>255</v>
      </c>
      <c r="J22" s="33" t="s">
        <v>256</v>
      </c>
      <c r="K22" s="61"/>
      <c r="L22" s="100"/>
    </row>
    <row r="23" spans="1:12" ht="27" customHeight="1">
      <c r="A23" s="15">
        <f t="shared" si="0"/>
        <v>9</v>
      </c>
      <c r="B23" s="85" t="s">
        <v>71</v>
      </c>
      <c r="C23" s="85">
        <v>99.3</v>
      </c>
      <c r="D23" s="85" t="s">
        <v>265</v>
      </c>
      <c r="E23" s="85" t="s">
        <v>266</v>
      </c>
      <c r="F23" s="87">
        <v>20</v>
      </c>
      <c r="G23" s="87">
        <v>5.5</v>
      </c>
      <c r="H23" s="33" t="s">
        <v>254</v>
      </c>
      <c r="I23" s="33" t="s">
        <v>255</v>
      </c>
      <c r="J23" s="33" t="s">
        <v>256</v>
      </c>
      <c r="K23" s="61"/>
      <c r="L23" s="100"/>
    </row>
    <row r="24" spans="1:12" ht="24" customHeight="1">
      <c r="A24" s="15">
        <f t="shared" si="0"/>
        <v>10</v>
      </c>
      <c r="B24" s="85" t="s">
        <v>71</v>
      </c>
      <c r="C24" s="85">
        <v>99.3</v>
      </c>
      <c r="D24" s="85" t="s">
        <v>266</v>
      </c>
      <c r="E24" s="85" t="s">
        <v>267</v>
      </c>
      <c r="F24" s="87">
        <v>10</v>
      </c>
      <c r="G24" s="87">
        <v>5.5</v>
      </c>
      <c r="H24" s="33" t="s">
        <v>254</v>
      </c>
      <c r="I24" s="33" t="s">
        <v>255</v>
      </c>
      <c r="J24" s="33" t="s">
        <v>256</v>
      </c>
      <c r="K24" s="61"/>
      <c r="L24" s="61"/>
    </row>
    <row r="25" spans="1:12" ht="23.25" customHeight="1">
      <c r="A25" s="15">
        <f t="shared" si="0"/>
        <v>11</v>
      </c>
      <c r="B25" s="85" t="s">
        <v>71</v>
      </c>
      <c r="C25" s="85">
        <v>56.7</v>
      </c>
      <c r="D25" s="85" t="s">
        <v>258</v>
      </c>
      <c r="E25" s="85" t="s">
        <v>268</v>
      </c>
      <c r="F25" s="85">
        <v>168</v>
      </c>
      <c r="G25" s="87">
        <v>5.5</v>
      </c>
      <c r="H25" s="33" t="s">
        <v>254</v>
      </c>
      <c r="I25" s="33" t="s">
        <v>255</v>
      </c>
      <c r="J25" s="33" t="s">
        <v>256</v>
      </c>
      <c r="K25" s="61"/>
      <c r="L25" s="61"/>
    </row>
    <row r="26" spans="1:12" ht="20.25" customHeight="1">
      <c r="A26" s="83">
        <f t="shared" si="0"/>
        <v>12</v>
      </c>
      <c r="B26" s="85" t="s">
        <v>71</v>
      </c>
      <c r="C26" s="85">
        <v>56.7</v>
      </c>
      <c r="D26" s="85" t="s">
        <v>268</v>
      </c>
      <c r="E26" s="85" t="s">
        <v>269</v>
      </c>
      <c r="F26" s="85">
        <v>13</v>
      </c>
      <c r="G26" s="87">
        <v>5.5</v>
      </c>
      <c r="H26" s="33" t="s">
        <v>254</v>
      </c>
      <c r="I26" s="33" t="s">
        <v>255</v>
      </c>
      <c r="J26" s="33" t="s">
        <v>256</v>
      </c>
      <c r="K26" s="61"/>
      <c r="L26" s="61"/>
    </row>
    <row r="27" spans="1:12" ht="20.25" customHeight="1">
      <c r="A27" s="83">
        <f t="shared" si="0"/>
        <v>13</v>
      </c>
      <c r="B27" s="85" t="s">
        <v>71</v>
      </c>
      <c r="C27" s="85">
        <v>56.7</v>
      </c>
      <c r="D27" s="85" t="s">
        <v>259</v>
      </c>
      <c r="E27" s="85" t="s">
        <v>270</v>
      </c>
      <c r="F27" s="85">
        <v>130</v>
      </c>
      <c r="G27" s="87">
        <v>5.5</v>
      </c>
      <c r="H27" s="33" t="s">
        <v>254</v>
      </c>
      <c r="I27" s="33" t="s">
        <v>255</v>
      </c>
      <c r="J27" s="33" t="s">
        <v>256</v>
      </c>
      <c r="K27" s="61"/>
      <c r="L27" s="61"/>
    </row>
    <row r="28" spans="1:12" ht="20.25" customHeight="1">
      <c r="A28" s="83">
        <f t="shared" si="0"/>
        <v>14</v>
      </c>
      <c r="B28" s="85" t="s">
        <v>71</v>
      </c>
      <c r="C28" s="85">
        <v>67.400000000000006</v>
      </c>
      <c r="D28" s="85" t="s">
        <v>268</v>
      </c>
      <c r="E28" s="85" t="s">
        <v>270</v>
      </c>
      <c r="F28" s="85">
        <v>106</v>
      </c>
      <c r="G28" s="87">
        <v>5.5</v>
      </c>
      <c r="H28" s="33" t="s">
        <v>254</v>
      </c>
      <c r="I28" s="33" t="s">
        <v>255</v>
      </c>
      <c r="J28" s="33" t="s">
        <v>256</v>
      </c>
      <c r="K28" s="61"/>
      <c r="L28" s="61"/>
    </row>
    <row r="29" spans="1:12" ht="20.25" customHeight="1">
      <c r="A29" s="83">
        <f t="shared" si="0"/>
        <v>15</v>
      </c>
      <c r="B29" s="85" t="s">
        <v>71</v>
      </c>
      <c r="C29" s="85">
        <v>67.400000000000006</v>
      </c>
      <c r="D29" s="85" t="s">
        <v>270</v>
      </c>
      <c r="E29" s="85" t="s">
        <v>271</v>
      </c>
      <c r="F29" s="85">
        <v>73</v>
      </c>
      <c r="G29" s="87">
        <v>5.5</v>
      </c>
      <c r="H29" s="33" t="s">
        <v>254</v>
      </c>
      <c r="I29" s="33" t="s">
        <v>255</v>
      </c>
      <c r="J29" s="33" t="s">
        <v>256</v>
      </c>
      <c r="K29" s="61"/>
      <c r="L29" s="61"/>
    </row>
    <row r="30" spans="1:12" ht="20.25" customHeight="1">
      <c r="A30" s="83">
        <f t="shared" si="0"/>
        <v>16</v>
      </c>
      <c r="B30" s="85" t="s">
        <v>71</v>
      </c>
      <c r="C30" s="85">
        <v>67.400000000000006</v>
      </c>
      <c r="D30" s="85" t="s">
        <v>271</v>
      </c>
      <c r="E30" s="85" t="s">
        <v>272</v>
      </c>
      <c r="F30" s="85">
        <v>93</v>
      </c>
      <c r="G30" s="87">
        <v>5.5</v>
      </c>
      <c r="H30" s="33" t="s">
        <v>254</v>
      </c>
      <c r="I30" s="33" t="s">
        <v>255</v>
      </c>
      <c r="J30" s="33" t="s">
        <v>256</v>
      </c>
      <c r="K30" s="61"/>
      <c r="L30" s="61"/>
    </row>
    <row r="31" spans="1:12" ht="20.25" customHeight="1">
      <c r="A31" s="83">
        <f t="shared" si="0"/>
        <v>17</v>
      </c>
      <c r="B31" s="85" t="s">
        <v>71</v>
      </c>
      <c r="C31" s="85">
        <v>67.400000000000006</v>
      </c>
      <c r="D31" s="85" t="s">
        <v>272</v>
      </c>
      <c r="E31" s="85" t="s">
        <v>266</v>
      </c>
      <c r="F31" s="85">
        <v>283</v>
      </c>
      <c r="G31" s="87">
        <v>5.5</v>
      </c>
      <c r="H31" s="33" t="s">
        <v>254</v>
      </c>
      <c r="I31" s="33" t="s">
        <v>255</v>
      </c>
      <c r="J31" s="33" t="s">
        <v>256</v>
      </c>
      <c r="K31" s="61"/>
      <c r="L31" s="61"/>
    </row>
    <row r="32" spans="1:12" ht="20.25" customHeight="1">
      <c r="A32" s="83"/>
      <c r="B32" s="85"/>
      <c r="C32" s="88"/>
      <c r="D32" s="88"/>
      <c r="E32" s="88"/>
      <c r="F32" s="88"/>
      <c r="G32" s="88"/>
      <c r="H32" s="88"/>
      <c r="I32" s="88"/>
      <c r="J32" s="88"/>
      <c r="K32" s="88"/>
      <c r="L32" s="88"/>
    </row>
    <row r="33" spans="1:12" ht="20.25" customHeight="1">
      <c r="A33" s="238"/>
      <c r="B33" s="222"/>
      <c r="C33" s="239" t="s">
        <v>86</v>
      </c>
      <c r="D33" s="240"/>
      <c r="E33" s="240"/>
      <c r="F33" s="241"/>
      <c r="G33" s="239" t="s">
        <v>87</v>
      </c>
      <c r="H33" s="240"/>
      <c r="I33" s="241"/>
      <c r="J33" s="239" t="s">
        <v>39</v>
      </c>
      <c r="K33" s="240"/>
      <c r="L33" s="242"/>
    </row>
    <row r="34" spans="1:12" ht="20.25" customHeight="1">
      <c r="A34" s="230" t="s">
        <v>40</v>
      </c>
      <c r="B34" s="189"/>
      <c r="C34" s="234"/>
      <c r="D34" s="235"/>
      <c r="E34" s="235"/>
      <c r="F34" s="236"/>
      <c r="G34" s="234"/>
      <c r="H34" s="235"/>
      <c r="I34" s="236"/>
      <c r="J34" s="234"/>
      <c r="K34" s="235"/>
      <c r="L34" s="237"/>
    </row>
    <row r="35" spans="1:12">
      <c r="A35" s="230" t="s">
        <v>41</v>
      </c>
      <c r="B35" s="189"/>
      <c r="C35" s="234"/>
      <c r="D35" s="235"/>
      <c r="E35" s="235"/>
      <c r="F35" s="236"/>
      <c r="G35" s="234"/>
      <c r="H35" s="235"/>
      <c r="I35" s="236"/>
      <c r="J35" s="234"/>
      <c r="K35" s="235"/>
      <c r="L35" s="237"/>
    </row>
    <row r="36" spans="1:12">
      <c r="A36" s="230" t="s">
        <v>42</v>
      </c>
      <c r="B36" s="189"/>
      <c r="C36" s="234"/>
      <c r="D36" s="235"/>
      <c r="E36" s="235"/>
      <c r="F36" s="236"/>
      <c r="G36" s="234"/>
      <c r="H36" s="235"/>
      <c r="I36" s="236"/>
      <c r="J36" s="234"/>
      <c r="K36" s="235"/>
      <c r="L36" s="237"/>
    </row>
    <row r="37" spans="1:12">
      <c r="A37" s="245" t="s">
        <v>43</v>
      </c>
      <c r="B37" s="246"/>
      <c r="C37" s="250"/>
      <c r="D37" s="251"/>
      <c r="E37" s="251"/>
      <c r="F37" s="252"/>
      <c r="G37" s="250"/>
      <c r="H37" s="251"/>
      <c r="I37" s="252"/>
      <c r="J37" s="250"/>
      <c r="K37" s="251"/>
      <c r="L37" s="253"/>
    </row>
  </sheetData>
  <mergeCells count="38">
    <mergeCell ref="A33:B33"/>
    <mergeCell ref="C33:F33"/>
    <mergeCell ref="G33:I33"/>
    <mergeCell ref="J33:L33"/>
    <mergeCell ref="E13:E14"/>
    <mergeCell ref="F13:F14"/>
    <mergeCell ref="G13:G14"/>
    <mergeCell ref="K13:K14"/>
    <mergeCell ref="L13:L14"/>
    <mergeCell ref="A34:B34"/>
    <mergeCell ref="C34:F34"/>
    <mergeCell ref="G34:I34"/>
    <mergeCell ref="J34:L34"/>
    <mergeCell ref="A35:B35"/>
    <mergeCell ref="C35:F35"/>
    <mergeCell ref="G35:I35"/>
    <mergeCell ref="J35:L35"/>
    <mergeCell ref="A36:B36"/>
    <mergeCell ref="C36:F36"/>
    <mergeCell ref="G36:I36"/>
    <mergeCell ref="J36:L36"/>
    <mergeCell ref="A37:B37"/>
    <mergeCell ref="C37:F37"/>
    <mergeCell ref="G37:I37"/>
    <mergeCell ref="J37:L37"/>
    <mergeCell ref="A1:A4"/>
    <mergeCell ref="A13:A14"/>
    <mergeCell ref="B13:B14"/>
    <mergeCell ref="C13:C14"/>
    <mergeCell ref="D13:D14"/>
    <mergeCell ref="B1:H4"/>
    <mergeCell ref="A11:L11"/>
    <mergeCell ref="H13:J13"/>
    <mergeCell ref="A5:B5"/>
    <mergeCell ref="A6:B6"/>
    <mergeCell ref="A7:B7"/>
    <mergeCell ref="A8:B8"/>
    <mergeCell ref="A9:L9"/>
  </mergeCells>
  <printOptions horizontalCentered="1"/>
  <pageMargins left="0.23622047244094499" right="0.23622047244094499" top="0" bottom="0" header="0.31496062992126" footer="0.31496062992126"/>
  <pageSetup paperSize="9" scale="75" fitToHeight="0" orientation="landscape" horizontalDpi="300" verticalDpi="3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Y173"/>
  <sheetViews>
    <sheetView topLeftCell="K22" zoomScale="115" zoomScaleNormal="115" zoomScaleSheetLayoutView="85" workbookViewId="0">
      <selection activeCell="BN30" sqref="BN30:BY32"/>
    </sheetView>
  </sheetViews>
  <sheetFormatPr defaultColWidth="12.28515625" defaultRowHeight="15"/>
  <cols>
    <col min="1" max="1" width="13.42578125" customWidth="1"/>
    <col min="7" max="7" width="14" customWidth="1"/>
    <col min="8" max="8" width="22" customWidth="1"/>
    <col min="9" max="9" width="24.85546875" customWidth="1"/>
    <col min="10" max="10" width="10.85546875" customWidth="1"/>
    <col min="11" max="11" width="11.85546875" customWidth="1"/>
    <col min="12" max="12" width="11.28515625" customWidth="1"/>
    <col min="14" max="14" width="12.85546875" customWidth="1"/>
    <col min="15" max="15" width="11.28515625" customWidth="1"/>
    <col min="16" max="16" width="8" customWidth="1"/>
    <col min="17" max="17" width="10.42578125" customWidth="1"/>
    <col min="18" max="18" width="10.140625" customWidth="1"/>
    <col min="19" max="19" width="8.7109375" customWidth="1"/>
    <col min="27" max="27" width="13.140625" customWidth="1"/>
    <col min="28" max="28" width="11.28515625" customWidth="1"/>
    <col min="29" max="29" width="10.7109375" customWidth="1"/>
    <col min="32" max="32" width="10" customWidth="1"/>
    <col min="40" max="40" width="15" customWidth="1"/>
    <col min="53" max="53" width="13.42578125" customWidth="1"/>
    <col min="66" max="66" width="13.28515625" customWidth="1"/>
  </cols>
  <sheetData>
    <row r="1" spans="1:77" ht="15" customHeight="1">
      <c r="A1" s="206"/>
      <c r="B1" s="211" t="s">
        <v>44</v>
      </c>
      <c r="C1" s="212"/>
      <c r="D1" s="212"/>
      <c r="E1" s="212"/>
      <c r="F1" s="212"/>
      <c r="G1" s="212"/>
      <c r="H1" s="213"/>
      <c r="I1" s="2"/>
      <c r="J1" s="20"/>
      <c r="K1" s="20"/>
      <c r="L1" s="21"/>
      <c r="N1" s="206"/>
      <c r="O1" s="211" t="s">
        <v>44</v>
      </c>
      <c r="P1" s="212"/>
      <c r="Q1" s="212"/>
      <c r="R1" s="212"/>
      <c r="S1" s="212"/>
      <c r="T1" s="212"/>
      <c r="U1" s="213"/>
      <c r="V1" s="2"/>
      <c r="W1" s="20"/>
      <c r="X1" s="20"/>
      <c r="Y1" s="21"/>
      <c r="AA1" s="206"/>
      <c r="AB1" s="211" t="s">
        <v>44</v>
      </c>
      <c r="AC1" s="212"/>
      <c r="AD1" s="212"/>
      <c r="AE1" s="212"/>
      <c r="AF1" s="212"/>
      <c r="AG1" s="212"/>
      <c r="AH1" s="213"/>
      <c r="AI1" s="2"/>
      <c r="AJ1" s="20"/>
      <c r="AK1" s="20"/>
      <c r="AL1" s="21"/>
      <c r="AN1" s="206"/>
      <c r="AO1" s="211" t="s">
        <v>44</v>
      </c>
      <c r="AP1" s="212"/>
      <c r="AQ1" s="212"/>
      <c r="AR1" s="212"/>
      <c r="AS1" s="212"/>
      <c r="AT1" s="212"/>
      <c r="AU1" s="213"/>
      <c r="AV1" s="2"/>
      <c r="AW1" s="20"/>
      <c r="AX1" s="20"/>
      <c r="AY1" s="21"/>
      <c r="BA1" s="206"/>
      <c r="BB1" s="211" t="s">
        <v>44</v>
      </c>
      <c r="BC1" s="212"/>
      <c r="BD1" s="212"/>
      <c r="BE1" s="212"/>
      <c r="BF1" s="212"/>
      <c r="BG1" s="212"/>
      <c r="BH1" s="213"/>
      <c r="BI1" s="2"/>
      <c r="BJ1" s="20"/>
      <c r="BK1" s="20"/>
      <c r="BL1" s="21"/>
      <c r="BN1" s="206"/>
      <c r="BO1" s="211" t="s">
        <v>44</v>
      </c>
      <c r="BP1" s="212"/>
      <c r="BQ1" s="212"/>
      <c r="BR1" s="212"/>
      <c r="BS1" s="212"/>
      <c r="BT1" s="212"/>
      <c r="BU1" s="213"/>
      <c r="BV1" s="2"/>
      <c r="BW1" s="20"/>
      <c r="BX1" s="20"/>
      <c r="BY1" s="21"/>
    </row>
    <row r="2" spans="1:77" ht="15" customHeight="1">
      <c r="A2" s="207"/>
      <c r="B2" s="214"/>
      <c r="C2" s="215"/>
      <c r="D2" s="215"/>
      <c r="E2" s="215"/>
      <c r="F2" s="215"/>
      <c r="G2" s="215"/>
      <c r="H2" s="216"/>
      <c r="I2" s="4"/>
      <c r="L2" s="22"/>
      <c r="N2" s="207"/>
      <c r="O2" s="214"/>
      <c r="P2" s="215"/>
      <c r="Q2" s="215"/>
      <c r="R2" s="215"/>
      <c r="S2" s="215"/>
      <c r="T2" s="215"/>
      <c r="U2" s="216"/>
      <c r="V2" s="4"/>
      <c r="Y2" s="22"/>
      <c r="AA2" s="207"/>
      <c r="AB2" s="214"/>
      <c r="AC2" s="215"/>
      <c r="AD2" s="215"/>
      <c r="AE2" s="215"/>
      <c r="AF2" s="215"/>
      <c r="AG2" s="215"/>
      <c r="AH2" s="216"/>
      <c r="AI2" s="4"/>
      <c r="AL2" s="22"/>
      <c r="AN2" s="207"/>
      <c r="AO2" s="214"/>
      <c r="AP2" s="215"/>
      <c r="AQ2" s="215"/>
      <c r="AR2" s="215"/>
      <c r="AS2" s="215"/>
      <c r="AT2" s="215"/>
      <c r="AU2" s="216"/>
      <c r="AV2" s="4"/>
      <c r="AY2" s="22"/>
      <c r="BA2" s="207"/>
      <c r="BB2" s="214"/>
      <c r="BC2" s="215"/>
      <c r="BD2" s="215"/>
      <c r="BE2" s="215"/>
      <c r="BF2" s="215"/>
      <c r="BG2" s="215"/>
      <c r="BH2" s="216"/>
      <c r="BI2" s="4"/>
      <c r="BL2" s="22"/>
      <c r="BN2" s="207"/>
      <c r="BO2" s="214"/>
      <c r="BP2" s="215"/>
      <c r="BQ2" s="215"/>
      <c r="BR2" s="215"/>
      <c r="BS2" s="215"/>
      <c r="BT2" s="215"/>
      <c r="BU2" s="216"/>
      <c r="BV2" s="4"/>
      <c r="BY2" s="22"/>
    </row>
    <row r="3" spans="1:77" ht="15" customHeight="1">
      <c r="A3" s="207"/>
      <c r="B3" s="214"/>
      <c r="C3" s="215"/>
      <c r="D3" s="215"/>
      <c r="E3" s="215"/>
      <c r="F3" s="215"/>
      <c r="G3" s="215"/>
      <c r="H3" s="216"/>
      <c r="I3" s="4"/>
      <c r="L3" s="22"/>
      <c r="N3" s="207"/>
      <c r="O3" s="214"/>
      <c r="P3" s="215"/>
      <c r="Q3" s="215"/>
      <c r="R3" s="215"/>
      <c r="S3" s="215"/>
      <c r="T3" s="215"/>
      <c r="U3" s="216"/>
      <c r="V3" s="4"/>
      <c r="Y3" s="22"/>
      <c r="AA3" s="207"/>
      <c r="AB3" s="214"/>
      <c r="AC3" s="215"/>
      <c r="AD3" s="215"/>
      <c r="AE3" s="215"/>
      <c r="AF3" s="215"/>
      <c r="AG3" s="215"/>
      <c r="AH3" s="216"/>
      <c r="AI3" s="4"/>
      <c r="AL3" s="22"/>
      <c r="AN3" s="207"/>
      <c r="AO3" s="214"/>
      <c r="AP3" s="215"/>
      <c r="AQ3" s="215"/>
      <c r="AR3" s="215"/>
      <c r="AS3" s="215"/>
      <c r="AT3" s="215"/>
      <c r="AU3" s="216"/>
      <c r="AV3" s="4"/>
      <c r="AY3" s="22"/>
      <c r="BA3" s="207"/>
      <c r="BB3" s="214"/>
      <c r="BC3" s="215"/>
      <c r="BD3" s="215"/>
      <c r="BE3" s="215"/>
      <c r="BF3" s="215"/>
      <c r="BG3" s="215"/>
      <c r="BH3" s="216"/>
      <c r="BI3" s="4"/>
      <c r="BL3" s="22"/>
      <c r="BN3" s="207"/>
      <c r="BO3" s="214"/>
      <c r="BP3" s="215"/>
      <c r="BQ3" s="215"/>
      <c r="BR3" s="215"/>
      <c r="BS3" s="215"/>
      <c r="BT3" s="215"/>
      <c r="BU3" s="216"/>
      <c r="BV3" s="4"/>
      <c r="BY3" s="22"/>
    </row>
    <row r="4" spans="1:77" ht="15.75" customHeight="1">
      <c r="A4" s="207"/>
      <c r="B4" s="214"/>
      <c r="C4" s="215"/>
      <c r="D4" s="215"/>
      <c r="E4" s="215"/>
      <c r="F4" s="215"/>
      <c r="G4" s="215"/>
      <c r="H4" s="216"/>
      <c r="I4" s="4"/>
      <c r="L4" s="22"/>
      <c r="N4" s="207"/>
      <c r="O4" s="214"/>
      <c r="P4" s="215"/>
      <c r="Q4" s="215"/>
      <c r="R4" s="215"/>
      <c r="S4" s="215"/>
      <c r="T4" s="215"/>
      <c r="U4" s="216"/>
      <c r="V4" s="4"/>
      <c r="Y4" s="22"/>
      <c r="AA4" s="207"/>
      <c r="AB4" s="214"/>
      <c r="AC4" s="215"/>
      <c r="AD4" s="215"/>
      <c r="AE4" s="215"/>
      <c r="AF4" s="215"/>
      <c r="AG4" s="215"/>
      <c r="AH4" s="216"/>
      <c r="AI4" s="4"/>
      <c r="AL4" s="22"/>
      <c r="AN4" s="207"/>
      <c r="AO4" s="214"/>
      <c r="AP4" s="215"/>
      <c r="AQ4" s="215"/>
      <c r="AR4" s="215"/>
      <c r="AS4" s="215"/>
      <c r="AT4" s="215"/>
      <c r="AU4" s="216"/>
      <c r="AV4" s="4"/>
      <c r="AY4" s="22"/>
      <c r="BA4" s="207"/>
      <c r="BB4" s="214"/>
      <c r="BC4" s="215"/>
      <c r="BD4" s="215"/>
      <c r="BE4" s="215"/>
      <c r="BF4" s="215"/>
      <c r="BG4" s="215"/>
      <c r="BH4" s="216"/>
      <c r="BI4" s="4"/>
      <c r="BL4" s="22"/>
      <c r="BN4" s="207"/>
      <c r="BO4" s="214"/>
      <c r="BP4" s="215"/>
      <c r="BQ4" s="215"/>
      <c r="BR4" s="215"/>
      <c r="BS4" s="215"/>
      <c r="BT4" s="215"/>
      <c r="BU4" s="216"/>
      <c r="BV4" s="4"/>
      <c r="BY4" s="22"/>
    </row>
    <row r="5" spans="1:77" ht="28.5" customHeight="1">
      <c r="A5" s="223" t="s">
        <v>45</v>
      </c>
      <c r="B5" s="224"/>
      <c r="C5" s="7" t="s">
        <v>46</v>
      </c>
      <c r="D5" s="8"/>
      <c r="E5" s="8"/>
      <c r="F5" s="8"/>
      <c r="G5" s="8"/>
      <c r="H5" s="8"/>
      <c r="I5" s="8"/>
      <c r="J5" s="8"/>
      <c r="K5" s="8"/>
      <c r="L5" s="23"/>
      <c r="N5" s="223" t="s">
        <v>45</v>
      </c>
      <c r="O5" s="224"/>
      <c r="P5" s="7" t="s">
        <v>46</v>
      </c>
      <c r="Q5" s="8"/>
      <c r="R5" s="8"/>
      <c r="S5" s="8"/>
      <c r="T5" s="8"/>
      <c r="U5" s="8"/>
      <c r="V5" s="8"/>
      <c r="W5" s="8"/>
      <c r="X5" s="8"/>
      <c r="Y5" s="23"/>
      <c r="AA5" s="223" t="s">
        <v>45</v>
      </c>
      <c r="AB5" s="224"/>
      <c r="AC5" s="7" t="s">
        <v>46</v>
      </c>
      <c r="AD5" s="8"/>
      <c r="AE5" s="8"/>
      <c r="AF5" s="8"/>
      <c r="AG5" s="8"/>
      <c r="AH5" s="8"/>
      <c r="AI5" s="8"/>
      <c r="AJ5" s="8"/>
      <c r="AK5" s="8"/>
      <c r="AL5" s="23"/>
      <c r="AN5" s="223" t="s">
        <v>45</v>
      </c>
      <c r="AO5" s="224"/>
      <c r="AP5" s="7" t="s">
        <v>46</v>
      </c>
      <c r="AQ5" s="8"/>
      <c r="AR5" s="8"/>
      <c r="AS5" s="8"/>
      <c r="AT5" s="8"/>
      <c r="AU5" s="8"/>
      <c r="AV5" s="8"/>
      <c r="AW5" s="8"/>
      <c r="AX5" s="8"/>
      <c r="AY5" s="23"/>
      <c r="BA5" s="223" t="s">
        <v>45</v>
      </c>
      <c r="BB5" s="224"/>
      <c r="BC5" s="7" t="s">
        <v>46</v>
      </c>
      <c r="BD5" s="8"/>
      <c r="BE5" s="8"/>
      <c r="BF5" s="8"/>
      <c r="BG5" s="8"/>
      <c r="BH5" s="8"/>
      <c r="BI5" s="8"/>
      <c r="BJ5" s="8"/>
      <c r="BK5" s="8"/>
      <c r="BL5" s="23"/>
      <c r="BN5" s="223" t="s">
        <v>45</v>
      </c>
      <c r="BO5" s="224"/>
      <c r="BP5" s="7" t="s">
        <v>46</v>
      </c>
      <c r="BQ5" s="8"/>
      <c r="BR5" s="8"/>
      <c r="BS5" s="8"/>
      <c r="BT5" s="8"/>
      <c r="BU5" s="8"/>
      <c r="BV5" s="8"/>
      <c r="BW5" s="8"/>
      <c r="BX5" s="8"/>
      <c r="BY5" s="23"/>
    </row>
    <row r="6" spans="1:77" ht="18" customHeight="1">
      <c r="A6" s="223" t="s">
        <v>48</v>
      </c>
      <c r="B6" s="224"/>
      <c r="C6" s="7" t="s">
        <v>49</v>
      </c>
      <c r="D6" s="8"/>
      <c r="E6" s="8"/>
      <c r="F6" s="8"/>
      <c r="G6" s="8"/>
      <c r="H6" s="8"/>
      <c r="I6" s="8"/>
      <c r="J6" s="8"/>
      <c r="K6" s="8"/>
      <c r="L6" s="23"/>
      <c r="N6" s="223" t="s">
        <v>48</v>
      </c>
      <c r="O6" s="224"/>
      <c r="P6" s="7" t="s">
        <v>49</v>
      </c>
      <c r="Q6" s="8"/>
      <c r="R6" s="8"/>
      <c r="S6" s="8"/>
      <c r="T6" s="8"/>
      <c r="U6" s="8"/>
      <c r="V6" s="8"/>
      <c r="W6" s="8"/>
      <c r="X6" s="8"/>
      <c r="Y6" s="23"/>
      <c r="AA6" s="223" t="s">
        <v>48</v>
      </c>
      <c r="AB6" s="224"/>
      <c r="AC6" s="7" t="s">
        <v>49</v>
      </c>
      <c r="AD6" s="8"/>
      <c r="AE6" s="8"/>
      <c r="AF6" s="8"/>
      <c r="AG6" s="8"/>
      <c r="AH6" s="8"/>
      <c r="AI6" s="8"/>
      <c r="AJ6" s="8"/>
      <c r="AK6" s="8"/>
      <c r="AL6" s="23"/>
      <c r="AN6" s="223" t="s">
        <v>48</v>
      </c>
      <c r="AO6" s="224"/>
      <c r="AP6" s="7" t="s">
        <v>49</v>
      </c>
      <c r="AQ6" s="8"/>
      <c r="AR6" s="8"/>
      <c r="AS6" s="8"/>
      <c r="AT6" s="8"/>
      <c r="AU6" s="8"/>
      <c r="AV6" s="8"/>
      <c r="AW6" s="8"/>
      <c r="AX6" s="8"/>
      <c r="AY6" s="23"/>
      <c r="BA6" s="223" t="s">
        <v>48</v>
      </c>
      <c r="BB6" s="224"/>
      <c r="BC6" s="7" t="s">
        <v>49</v>
      </c>
      <c r="BD6" s="8"/>
      <c r="BE6" s="8"/>
      <c r="BF6" s="8"/>
      <c r="BG6" s="8"/>
      <c r="BH6" s="8"/>
      <c r="BI6" s="8"/>
      <c r="BJ6" s="8"/>
      <c r="BK6" s="8"/>
      <c r="BL6" s="23"/>
      <c r="BN6" s="223" t="s">
        <v>48</v>
      </c>
      <c r="BO6" s="224"/>
      <c r="BP6" s="7" t="s">
        <v>49</v>
      </c>
      <c r="BQ6" s="8"/>
      <c r="BR6" s="8"/>
      <c r="BS6" s="8"/>
      <c r="BT6" s="8"/>
      <c r="BU6" s="8"/>
      <c r="BV6" s="8"/>
      <c r="BW6" s="8"/>
      <c r="BX6" s="8"/>
      <c r="BY6" s="23"/>
    </row>
    <row r="7" spans="1:77" ht="18" customHeight="1">
      <c r="A7" s="225" t="s">
        <v>50</v>
      </c>
      <c r="B7" s="226"/>
      <c r="C7" s="7" t="s">
        <v>51</v>
      </c>
      <c r="D7" s="8"/>
      <c r="E7" s="8"/>
      <c r="F7" s="8"/>
      <c r="G7" s="8"/>
      <c r="H7" s="8"/>
      <c r="I7" s="8"/>
      <c r="J7" s="8"/>
      <c r="K7" s="8"/>
      <c r="L7" s="23"/>
      <c r="N7" s="225" t="s">
        <v>50</v>
      </c>
      <c r="O7" s="226"/>
      <c r="P7" s="7" t="s">
        <v>51</v>
      </c>
      <c r="Q7" s="8"/>
      <c r="R7" s="8"/>
      <c r="S7" s="8"/>
      <c r="T7" s="8"/>
      <c r="U7" s="8"/>
      <c r="V7" s="8"/>
      <c r="W7" s="8"/>
      <c r="X7" s="8"/>
      <c r="Y7" s="23"/>
      <c r="AA7" s="225" t="s">
        <v>50</v>
      </c>
      <c r="AB7" s="226"/>
      <c r="AC7" s="7" t="s">
        <v>51</v>
      </c>
      <c r="AD7" s="8"/>
      <c r="AE7" s="8"/>
      <c r="AF7" s="8"/>
      <c r="AG7" s="8"/>
      <c r="AH7" s="8"/>
      <c r="AI7" s="8"/>
      <c r="AJ7" s="8"/>
      <c r="AK7" s="8"/>
      <c r="AL7" s="23"/>
      <c r="AN7" s="225" t="s">
        <v>50</v>
      </c>
      <c r="AO7" s="226"/>
      <c r="AP7" s="7" t="s">
        <v>51</v>
      </c>
      <c r="AQ7" s="8"/>
      <c r="AR7" s="8"/>
      <c r="AS7" s="8"/>
      <c r="AT7" s="8"/>
      <c r="AU7" s="8"/>
      <c r="AV7" s="8"/>
      <c r="AW7" s="8"/>
      <c r="AX7" s="8"/>
      <c r="AY7" s="23"/>
      <c r="BA7" s="225" t="s">
        <v>50</v>
      </c>
      <c r="BB7" s="226"/>
      <c r="BC7" s="7" t="s">
        <v>51</v>
      </c>
      <c r="BD7" s="8"/>
      <c r="BE7" s="8"/>
      <c r="BF7" s="8"/>
      <c r="BG7" s="8"/>
      <c r="BH7" s="8"/>
      <c r="BI7" s="8"/>
      <c r="BJ7" s="8"/>
      <c r="BK7" s="8"/>
      <c r="BL7" s="23"/>
      <c r="BN7" s="225" t="s">
        <v>50</v>
      </c>
      <c r="BO7" s="226"/>
      <c r="BP7" s="7" t="s">
        <v>51</v>
      </c>
      <c r="BQ7" s="8"/>
      <c r="BR7" s="8"/>
      <c r="BS7" s="8"/>
      <c r="BT7" s="8"/>
      <c r="BU7" s="8"/>
      <c r="BV7" s="8"/>
      <c r="BW7" s="8"/>
      <c r="BX7" s="8"/>
      <c r="BY7" s="23"/>
    </row>
    <row r="8" spans="1:77" ht="18" customHeight="1">
      <c r="A8" s="223" t="s">
        <v>52</v>
      </c>
      <c r="B8" s="224"/>
      <c r="C8" s="7" t="s">
        <v>53</v>
      </c>
      <c r="D8" s="8"/>
      <c r="E8" s="8"/>
      <c r="F8" s="8"/>
      <c r="G8" s="8"/>
      <c r="H8" s="8"/>
      <c r="I8" s="8"/>
      <c r="J8" s="8"/>
      <c r="K8" s="8"/>
      <c r="L8" s="23"/>
      <c r="N8" s="223" t="s">
        <v>52</v>
      </c>
      <c r="O8" s="224"/>
      <c r="P8" s="7" t="s">
        <v>53</v>
      </c>
      <c r="Q8" s="8"/>
      <c r="R8" s="8"/>
      <c r="S8" s="8"/>
      <c r="T8" s="8"/>
      <c r="U8" s="8"/>
      <c r="V8" s="8"/>
      <c r="W8" s="8"/>
      <c r="X8" s="8"/>
      <c r="Y8" s="23"/>
      <c r="AA8" s="223" t="s">
        <v>52</v>
      </c>
      <c r="AB8" s="224"/>
      <c r="AC8" s="7" t="s">
        <v>53</v>
      </c>
      <c r="AD8" s="8"/>
      <c r="AE8" s="8"/>
      <c r="AF8" s="8"/>
      <c r="AG8" s="8"/>
      <c r="AH8" s="8"/>
      <c r="AI8" s="8"/>
      <c r="AJ8" s="8"/>
      <c r="AK8" s="8"/>
      <c r="AL8" s="23"/>
      <c r="AN8" s="223" t="s">
        <v>52</v>
      </c>
      <c r="AO8" s="224"/>
      <c r="AP8" s="7" t="s">
        <v>53</v>
      </c>
      <c r="AQ8" s="8"/>
      <c r="AR8" s="8"/>
      <c r="AS8" s="8"/>
      <c r="AT8" s="8"/>
      <c r="AU8" s="8"/>
      <c r="AV8" s="8"/>
      <c r="AW8" s="8"/>
      <c r="AX8" s="8"/>
      <c r="AY8" s="23"/>
      <c r="BA8" s="223" t="s">
        <v>52</v>
      </c>
      <c r="BB8" s="224"/>
      <c r="BC8" s="7" t="s">
        <v>53</v>
      </c>
      <c r="BD8" s="8"/>
      <c r="BE8" s="8"/>
      <c r="BF8" s="8"/>
      <c r="BG8" s="8"/>
      <c r="BH8" s="8"/>
      <c r="BI8" s="8"/>
      <c r="BJ8" s="8"/>
      <c r="BK8" s="8"/>
      <c r="BL8" s="23"/>
      <c r="BN8" s="223" t="s">
        <v>52</v>
      </c>
      <c r="BO8" s="224"/>
      <c r="BP8" s="7" t="s">
        <v>53</v>
      </c>
      <c r="BQ8" s="8"/>
      <c r="BR8" s="8"/>
      <c r="BS8" s="8"/>
      <c r="BT8" s="8"/>
      <c r="BU8" s="8"/>
      <c r="BV8" s="8"/>
      <c r="BW8" s="8"/>
      <c r="BX8" s="8"/>
      <c r="BY8" s="23"/>
    </row>
    <row r="9" spans="1:77" ht="15.75" customHeight="1">
      <c r="A9" s="227" t="s">
        <v>273</v>
      </c>
      <c r="B9" s="228"/>
      <c r="C9" s="228"/>
      <c r="D9" s="228"/>
      <c r="E9" s="228"/>
      <c r="F9" s="228"/>
      <c r="G9" s="228"/>
      <c r="H9" s="228"/>
      <c r="I9" s="228"/>
      <c r="J9" s="228"/>
      <c r="K9" s="228"/>
      <c r="L9" s="229"/>
      <c r="N9" s="227" t="s">
        <v>273</v>
      </c>
      <c r="O9" s="228"/>
      <c r="P9" s="228"/>
      <c r="Q9" s="228"/>
      <c r="R9" s="228"/>
      <c r="S9" s="228"/>
      <c r="T9" s="228"/>
      <c r="U9" s="228"/>
      <c r="V9" s="228"/>
      <c r="W9" s="228"/>
      <c r="X9" s="228"/>
      <c r="Y9" s="229"/>
      <c r="AA9" s="227" t="s">
        <v>273</v>
      </c>
      <c r="AB9" s="228"/>
      <c r="AC9" s="228"/>
      <c r="AD9" s="228"/>
      <c r="AE9" s="228"/>
      <c r="AF9" s="228"/>
      <c r="AG9" s="228"/>
      <c r="AH9" s="228"/>
      <c r="AI9" s="228"/>
      <c r="AJ9" s="228"/>
      <c r="AK9" s="228"/>
      <c r="AL9" s="229"/>
      <c r="AN9" s="227" t="s">
        <v>273</v>
      </c>
      <c r="AO9" s="228"/>
      <c r="AP9" s="228"/>
      <c r="AQ9" s="228"/>
      <c r="AR9" s="228"/>
      <c r="AS9" s="228"/>
      <c r="AT9" s="228"/>
      <c r="AU9" s="228"/>
      <c r="AV9" s="228"/>
      <c r="AW9" s="228"/>
      <c r="AX9" s="228"/>
      <c r="AY9" s="229"/>
      <c r="BA9" s="227" t="s">
        <v>273</v>
      </c>
      <c r="BB9" s="228"/>
      <c r="BC9" s="228"/>
      <c r="BD9" s="228"/>
      <c r="BE9" s="228"/>
      <c r="BF9" s="228"/>
      <c r="BG9" s="228"/>
      <c r="BH9" s="228"/>
      <c r="BI9" s="228"/>
      <c r="BJ9" s="228"/>
      <c r="BK9" s="228"/>
      <c r="BL9" s="229"/>
      <c r="BN9" s="227" t="s">
        <v>273</v>
      </c>
      <c r="BO9" s="228"/>
      <c r="BP9" s="228"/>
      <c r="BQ9" s="228"/>
      <c r="BR9" s="228"/>
      <c r="BS9" s="228"/>
      <c r="BT9" s="228"/>
      <c r="BU9" s="228"/>
      <c r="BV9" s="228"/>
      <c r="BW9" s="228"/>
      <c r="BX9" s="228"/>
      <c r="BY9" s="229"/>
    </row>
    <row r="10" spans="1:77" ht="21.75" customHeight="1">
      <c r="A10" s="11" t="s">
        <v>55</v>
      </c>
      <c r="B10" s="12"/>
      <c r="C10" s="12"/>
      <c r="D10" s="12"/>
      <c r="E10" s="12"/>
      <c r="F10" s="12"/>
      <c r="G10" s="24" t="s">
        <v>56</v>
      </c>
      <c r="H10" s="25"/>
      <c r="I10" s="12"/>
      <c r="J10" s="12"/>
      <c r="K10" s="12"/>
      <c r="L10" s="26"/>
      <c r="N10" s="11" t="s">
        <v>55</v>
      </c>
      <c r="O10" s="12"/>
      <c r="P10" s="12"/>
      <c r="Q10" s="12"/>
      <c r="R10" s="12"/>
      <c r="S10" s="12"/>
      <c r="T10" s="24" t="s">
        <v>56</v>
      </c>
      <c r="U10" s="25"/>
      <c r="V10" s="12"/>
      <c r="W10" s="12"/>
      <c r="X10" s="12"/>
      <c r="Y10" s="26"/>
      <c r="AA10" s="11" t="s">
        <v>55</v>
      </c>
      <c r="AB10" s="12"/>
      <c r="AC10" s="12"/>
      <c r="AD10" s="12"/>
      <c r="AE10" s="12"/>
      <c r="AF10" s="12"/>
      <c r="AG10" s="24" t="s">
        <v>56</v>
      </c>
      <c r="AH10" s="25"/>
      <c r="AI10" s="12"/>
      <c r="AJ10" s="12"/>
      <c r="AK10" s="12"/>
      <c r="AL10" s="26"/>
      <c r="AN10" s="11" t="s">
        <v>55</v>
      </c>
      <c r="AO10" s="12"/>
      <c r="AP10" s="12"/>
      <c r="AQ10" s="12"/>
      <c r="AR10" s="12"/>
      <c r="AS10" s="12"/>
      <c r="AT10" s="24" t="s">
        <v>56</v>
      </c>
      <c r="AU10" s="25"/>
      <c r="AV10" s="12"/>
      <c r="AW10" s="12"/>
      <c r="AX10" s="12"/>
      <c r="AY10" s="26"/>
      <c r="BA10" s="11" t="s">
        <v>55</v>
      </c>
      <c r="BB10" s="12"/>
      <c r="BC10" s="12"/>
      <c r="BD10" s="12"/>
      <c r="BE10" s="12"/>
      <c r="BF10" s="12"/>
      <c r="BG10" s="24" t="s">
        <v>56</v>
      </c>
      <c r="BH10" s="25"/>
      <c r="BI10" s="12"/>
      <c r="BJ10" s="12"/>
      <c r="BK10" s="12"/>
      <c r="BL10" s="26"/>
      <c r="BN10" s="11" t="s">
        <v>55</v>
      </c>
      <c r="BO10" s="12"/>
      <c r="BP10" s="12"/>
      <c r="BQ10" s="12"/>
      <c r="BR10" s="12"/>
      <c r="BS10" s="12"/>
      <c r="BT10" s="24" t="s">
        <v>56</v>
      </c>
      <c r="BU10" s="25"/>
      <c r="BV10" s="12"/>
      <c r="BW10" s="12"/>
      <c r="BX10" s="12"/>
      <c r="BY10" s="26"/>
    </row>
    <row r="11" spans="1:77" ht="21.75" customHeight="1">
      <c r="A11" s="217"/>
      <c r="B11" s="218"/>
      <c r="C11" s="218"/>
      <c r="D11" s="218"/>
      <c r="E11" s="218"/>
      <c r="F11" s="218"/>
      <c r="G11" s="218"/>
      <c r="H11" s="218"/>
      <c r="I11" s="218"/>
      <c r="J11" s="218"/>
      <c r="K11" s="218"/>
      <c r="L11" s="219"/>
      <c r="N11" s="217"/>
      <c r="O11" s="218"/>
      <c r="P11" s="218"/>
      <c r="Q11" s="218"/>
      <c r="R11" s="218"/>
      <c r="S11" s="218"/>
      <c r="T11" s="218"/>
      <c r="U11" s="218"/>
      <c r="V11" s="218"/>
      <c r="W11" s="218"/>
      <c r="X11" s="218"/>
      <c r="Y11" s="219"/>
      <c r="AA11" s="217"/>
      <c r="AB11" s="218"/>
      <c r="AC11" s="218"/>
      <c r="AD11" s="218"/>
      <c r="AE11" s="218"/>
      <c r="AF11" s="218"/>
      <c r="AG11" s="218"/>
      <c r="AH11" s="218"/>
      <c r="AI11" s="218"/>
      <c r="AJ11" s="218"/>
      <c r="AK11" s="218"/>
      <c r="AL11" s="219"/>
      <c r="AN11" s="217"/>
      <c r="AO11" s="218"/>
      <c r="AP11" s="218"/>
      <c r="AQ11" s="218"/>
      <c r="AR11" s="218"/>
      <c r="AS11" s="218"/>
      <c r="AT11" s="218"/>
      <c r="AU11" s="218"/>
      <c r="AV11" s="218"/>
      <c r="AW11" s="218"/>
      <c r="AX11" s="218"/>
      <c r="AY11" s="219"/>
      <c r="BA11" s="217"/>
      <c r="BB11" s="218"/>
      <c r="BC11" s="218"/>
      <c r="BD11" s="218"/>
      <c r="BE11" s="218"/>
      <c r="BF11" s="218"/>
      <c r="BG11" s="218"/>
      <c r="BH11" s="218"/>
      <c r="BI11" s="218"/>
      <c r="BJ11" s="218"/>
      <c r="BK11" s="218"/>
      <c r="BL11" s="219"/>
      <c r="BN11" s="217"/>
      <c r="BO11" s="218"/>
      <c r="BP11" s="218"/>
      <c r="BQ11" s="218"/>
      <c r="BR11" s="218"/>
      <c r="BS11" s="218"/>
      <c r="BT11" s="218"/>
      <c r="BU11" s="218"/>
      <c r="BV11" s="218"/>
      <c r="BW11" s="218"/>
      <c r="BX11" s="218"/>
      <c r="BY11" s="219"/>
    </row>
    <row r="12" spans="1:77" ht="22.5" customHeight="1">
      <c r="A12" s="11" t="s">
        <v>274</v>
      </c>
      <c r="B12" s="73"/>
      <c r="C12" s="73"/>
      <c r="D12" s="81"/>
      <c r="E12" s="24"/>
      <c r="F12" s="25"/>
      <c r="G12" s="24" t="s">
        <v>58</v>
      </c>
      <c r="H12" s="82">
        <v>45002</v>
      </c>
      <c r="I12" s="74"/>
      <c r="J12" s="74"/>
      <c r="K12" s="74"/>
      <c r="L12" s="80"/>
      <c r="N12" s="11" t="s">
        <v>103</v>
      </c>
      <c r="O12" s="73"/>
      <c r="P12" s="73"/>
      <c r="Q12" s="81"/>
      <c r="R12" s="24"/>
      <c r="S12" s="25"/>
      <c r="T12" s="24" t="s">
        <v>58</v>
      </c>
      <c r="U12" s="82"/>
      <c r="V12" s="74"/>
      <c r="W12" s="74"/>
      <c r="X12" s="74"/>
      <c r="Y12" s="80"/>
      <c r="AA12" s="11" t="s">
        <v>103</v>
      </c>
      <c r="AB12" s="73"/>
      <c r="AC12" s="73"/>
      <c r="AD12" s="81"/>
      <c r="AE12" s="24"/>
      <c r="AF12" s="25"/>
      <c r="AG12" s="24" t="s">
        <v>58</v>
      </c>
      <c r="AH12" s="82"/>
      <c r="AI12" s="74"/>
      <c r="AJ12" s="74"/>
      <c r="AK12" s="74"/>
      <c r="AL12" s="80"/>
      <c r="AN12" s="11" t="s">
        <v>103</v>
      </c>
      <c r="AO12" s="73"/>
      <c r="AP12" s="73"/>
      <c r="AQ12" s="81"/>
      <c r="AR12" s="24"/>
      <c r="AS12" s="25"/>
      <c r="AT12" s="24" t="s">
        <v>58</v>
      </c>
      <c r="AU12" s="82"/>
      <c r="AV12" s="74"/>
      <c r="AW12" s="74"/>
      <c r="AX12" s="74"/>
      <c r="AY12" s="80"/>
      <c r="BA12" s="11" t="s">
        <v>103</v>
      </c>
      <c r="BB12" s="73"/>
      <c r="BC12" s="73"/>
      <c r="BD12" s="81"/>
      <c r="BE12" s="24"/>
      <c r="BF12" s="25"/>
      <c r="BG12" s="24" t="s">
        <v>58</v>
      </c>
      <c r="BH12" s="82"/>
      <c r="BI12" s="74"/>
      <c r="BJ12" s="74"/>
      <c r="BK12" s="74"/>
      <c r="BL12" s="80"/>
      <c r="BN12" s="11" t="s">
        <v>103</v>
      </c>
      <c r="BO12" s="73"/>
      <c r="BP12" s="73"/>
      <c r="BQ12" s="81"/>
      <c r="BR12" s="24"/>
      <c r="BS12" s="25"/>
      <c r="BT12" s="24" t="s">
        <v>58</v>
      </c>
      <c r="BU12" s="82"/>
      <c r="BV12" s="74"/>
      <c r="BW12" s="74"/>
      <c r="BX12" s="74"/>
      <c r="BY12" s="80"/>
    </row>
    <row r="13" spans="1:77" ht="15" customHeight="1">
      <c r="A13" s="208" t="s">
        <v>59</v>
      </c>
      <c r="B13" s="209" t="s">
        <v>60</v>
      </c>
      <c r="C13" s="210" t="s">
        <v>61</v>
      </c>
      <c r="D13" s="210" t="s">
        <v>62</v>
      </c>
      <c r="E13" s="210" t="s">
        <v>63</v>
      </c>
      <c r="F13" s="210" t="s">
        <v>64</v>
      </c>
      <c r="G13" s="243" t="s">
        <v>251</v>
      </c>
      <c r="H13" s="220" t="s">
        <v>66</v>
      </c>
      <c r="I13" s="221"/>
      <c r="J13" s="222"/>
      <c r="K13" s="209" t="s">
        <v>30</v>
      </c>
      <c r="L13" s="244" t="s">
        <v>67</v>
      </c>
      <c r="N13" s="208" t="s">
        <v>59</v>
      </c>
      <c r="O13" s="209" t="s">
        <v>60</v>
      </c>
      <c r="P13" s="210" t="s">
        <v>61</v>
      </c>
      <c r="Q13" s="210" t="s">
        <v>62</v>
      </c>
      <c r="R13" s="210" t="s">
        <v>63</v>
      </c>
      <c r="S13" s="210" t="s">
        <v>64</v>
      </c>
      <c r="T13" s="243" t="s">
        <v>251</v>
      </c>
      <c r="U13" s="220" t="s">
        <v>66</v>
      </c>
      <c r="V13" s="221"/>
      <c r="W13" s="222"/>
      <c r="X13" s="209" t="s">
        <v>30</v>
      </c>
      <c r="Y13" s="244" t="s">
        <v>67</v>
      </c>
      <c r="AA13" s="208" t="s">
        <v>59</v>
      </c>
      <c r="AB13" s="209" t="s">
        <v>60</v>
      </c>
      <c r="AC13" s="210" t="s">
        <v>61</v>
      </c>
      <c r="AD13" s="210" t="s">
        <v>62</v>
      </c>
      <c r="AE13" s="210" t="s">
        <v>63</v>
      </c>
      <c r="AF13" s="210" t="s">
        <v>64</v>
      </c>
      <c r="AG13" s="243" t="s">
        <v>251</v>
      </c>
      <c r="AH13" s="220" t="s">
        <v>66</v>
      </c>
      <c r="AI13" s="221"/>
      <c r="AJ13" s="222"/>
      <c r="AK13" s="209" t="s">
        <v>30</v>
      </c>
      <c r="AL13" s="244" t="s">
        <v>67</v>
      </c>
      <c r="AN13" s="208" t="s">
        <v>59</v>
      </c>
      <c r="AO13" s="209" t="s">
        <v>60</v>
      </c>
      <c r="AP13" s="210" t="s">
        <v>61</v>
      </c>
      <c r="AQ13" s="210" t="s">
        <v>62</v>
      </c>
      <c r="AR13" s="210" t="s">
        <v>63</v>
      </c>
      <c r="AS13" s="210" t="s">
        <v>64</v>
      </c>
      <c r="AT13" s="243" t="s">
        <v>251</v>
      </c>
      <c r="AU13" s="220" t="s">
        <v>66</v>
      </c>
      <c r="AV13" s="221"/>
      <c r="AW13" s="222"/>
      <c r="AX13" s="209" t="s">
        <v>30</v>
      </c>
      <c r="AY13" s="244" t="s">
        <v>67</v>
      </c>
      <c r="BA13" s="208" t="s">
        <v>59</v>
      </c>
      <c r="BB13" s="209" t="s">
        <v>60</v>
      </c>
      <c r="BC13" s="210" t="s">
        <v>61</v>
      </c>
      <c r="BD13" s="210" t="s">
        <v>62</v>
      </c>
      <c r="BE13" s="210" t="s">
        <v>63</v>
      </c>
      <c r="BF13" s="210" t="s">
        <v>64</v>
      </c>
      <c r="BG13" s="243" t="s">
        <v>251</v>
      </c>
      <c r="BH13" s="220" t="s">
        <v>66</v>
      </c>
      <c r="BI13" s="221"/>
      <c r="BJ13" s="222"/>
      <c r="BK13" s="209" t="s">
        <v>30</v>
      </c>
      <c r="BL13" s="244" t="s">
        <v>67</v>
      </c>
      <c r="BN13" s="208" t="s">
        <v>59</v>
      </c>
      <c r="BO13" s="209" t="s">
        <v>60</v>
      </c>
      <c r="BP13" s="210" t="s">
        <v>61</v>
      </c>
      <c r="BQ13" s="210" t="s">
        <v>62</v>
      </c>
      <c r="BR13" s="210" t="s">
        <v>63</v>
      </c>
      <c r="BS13" s="210" t="s">
        <v>64</v>
      </c>
      <c r="BT13" s="243" t="s">
        <v>251</v>
      </c>
      <c r="BU13" s="220" t="s">
        <v>66</v>
      </c>
      <c r="BV13" s="221"/>
      <c r="BW13" s="222"/>
      <c r="BX13" s="209" t="s">
        <v>30</v>
      </c>
      <c r="BY13" s="244" t="s">
        <v>67</v>
      </c>
    </row>
    <row r="14" spans="1:77" ht="45">
      <c r="A14" s="208"/>
      <c r="B14" s="209"/>
      <c r="C14" s="210"/>
      <c r="D14" s="210"/>
      <c r="E14" s="210"/>
      <c r="F14" s="210"/>
      <c r="G14" s="243"/>
      <c r="H14" s="16" t="s">
        <v>68</v>
      </c>
      <c r="I14" s="62" t="s">
        <v>69</v>
      </c>
      <c r="J14" s="16" t="s">
        <v>70</v>
      </c>
      <c r="K14" s="209"/>
      <c r="L14" s="244"/>
      <c r="N14" s="208"/>
      <c r="O14" s="209"/>
      <c r="P14" s="210"/>
      <c r="Q14" s="210"/>
      <c r="R14" s="210"/>
      <c r="S14" s="210"/>
      <c r="T14" s="243"/>
      <c r="U14" s="16" t="s">
        <v>68</v>
      </c>
      <c r="V14" s="62" t="s">
        <v>69</v>
      </c>
      <c r="W14" s="16" t="s">
        <v>70</v>
      </c>
      <c r="X14" s="209"/>
      <c r="Y14" s="244"/>
      <c r="AA14" s="208"/>
      <c r="AB14" s="209"/>
      <c r="AC14" s="210"/>
      <c r="AD14" s="210"/>
      <c r="AE14" s="210"/>
      <c r="AF14" s="210"/>
      <c r="AG14" s="243"/>
      <c r="AH14" s="16" t="s">
        <v>68</v>
      </c>
      <c r="AI14" s="62" t="s">
        <v>69</v>
      </c>
      <c r="AJ14" s="16" t="s">
        <v>70</v>
      </c>
      <c r="AK14" s="209"/>
      <c r="AL14" s="244"/>
      <c r="AN14" s="208"/>
      <c r="AO14" s="209"/>
      <c r="AP14" s="210"/>
      <c r="AQ14" s="210"/>
      <c r="AR14" s="210"/>
      <c r="AS14" s="210"/>
      <c r="AT14" s="243"/>
      <c r="AU14" s="16" t="s">
        <v>68</v>
      </c>
      <c r="AV14" s="62" t="s">
        <v>69</v>
      </c>
      <c r="AW14" s="16" t="s">
        <v>70</v>
      </c>
      <c r="AX14" s="209"/>
      <c r="AY14" s="244"/>
      <c r="BA14" s="208"/>
      <c r="BB14" s="209"/>
      <c r="BC14" s="210"/>
      <c r="BD14" s="210"/>
      <c r="BE14" s="210"/>
      <c r="BF14" s="210"/>
      <c r="BG14" s="243"/>
      <c r="BH14" s="16" t="s">
        <v>68</v>
      </c>
      <c r="BI14" s="62" t="s">
        <v>69</v>
      </c>
      <c r="BJ14" s="16" t="s">
        <v>70</v>
      </c>
      <c r="BK14" s="209"/>
      <c r="BL14" s="244"/>
      <c r="BN14" s="208"/>
      <c r="BO14" s="209"/>
      <c r="BP14" s="210"/>
      <c r="BQ14" s="210"/>
      <c r="BR14" s="210"/>
      <c r="BS14" s="210"/>
      <c r="BT14" s="243"/>
      <c r="BU14" s="16" t="s">
        <v>68</v>
      </c>
      <c r="BV14" s="62" t="s">
        <v>69</v>
      </c>
      <c r="BW14" s="16" t="s">
        <v>70</v>
      </c>
      <c r="BX14" s="209"/>
      <c r="BY14" s="244"/>
    </row>
    <row r="15" spans="1:77" ht="18.75" customHeight="1">
      <c r="A15" s="15">
        <v>1</v>
      </c>
      <c r="B15" s="33" t="s">
        <v>71</v>
      </c>
      <c r="C15" s="33">
        <v>126.3</v>
      </c>
      <c r="D15" s="33" t="s">
        <v>242</v>
      </c>
      <c r="E15" s="33" t="s">
        <v>275</v>
      </c>
      <c r="F15" s="33">
        <f>622-100</f>
        <v>522</v>
      </c>
      <c r="G15" s="33" t="s">
        <v>276</v>
      </c>
      <c r="H15" s="33" t="s">
        <v>277</v>
      </c>
      <c r="I15" s="33" t="s">
        <v>278</v>
      </c>
      <c r="J15" s="134">
        <v>0.125</v>
      </c>
      <c r="K15" s="88"/>
      <c r="L15" s="137"/>
      <c r="N15" s="33">
        <v>1</v>
      </c>
      <c r="O15" s="33" t="s">
        <v>71</v>
      </c>
      <c r="P15" s="33">
        <v>140</v>
      </c>
      <c r="Q15" s="33" t="s">
        <v>279</v>
      </c>
      <c r="R15" s="33" t="s">
        <v>280</v>
      </c>
      <c r="S15" s="33">
        <v>227.8</v>
      </c>
      <c r="T15" s="61" t="s">
        <v>106</v>
      </c>
      <c r="U15" s="29">
        <v>3.3</v>
      </c>
      <c r="V15" s="29">
        <v>1</v>
      </c>
      <c r="W15" s="29">
        <v>4.3</v>
      </c>
      <c r="X15" s="29" t="s">
        <v>114</v>
      </c>
      <c r="Y15" s="61"/>
      <c r="AA15" s="29">
        <v>1</v>
      </c>
      <c r="AB15" s="29" t="s">
        <v>71</v>
      </c>
      <c r="AC15" s="29">
        <v>63</v>
      </c>
      <c r="AD15" s="33" t="s">
        <v>281</v>
      </c>
      <c r="AE15" s="33" t="s">
        <v>282</v>
      </c>
      <c r="AF15" s="33">
        <v>362</v>
      </c>
      <c r="AG15" s="29" t="s">
        <v>276</v>
      </c>
      <c r="AH15" s="29">
        <v>3.5</v>
      </c>
      <c r="AI15" s="29">
        <v>1</v>
      </c>
      <c r="AJ15" s="29">
        <v>4.5</v>
      </c>
      <c r="AK15" s="29" t="s">
        <v>114</v>
      </c>
      <c r="AL15" s="61"/>
      <c r="AN15" s="29">
        <v>1</v>
      </c>
      <c r="AO15" s="29" t="s">
        <v>71</v>
      </c>
      <c r="AP15" s="29">
        <v>63</v>
      </c>
      <c r="AQ15" s="33" t="s">
        <v>283</v>
      </c>
      <c r="AR15" s="33" t="s">
        <v>284</v>
      </c>
      <c r="AS15" s="33">
        <v>96.4</v>
      </c>
      <c r="AT15" s="33" t="s">
        <v>106</v>
      </c>
      <c r="AU15" s="29">
        <v>3</v>
      </c>
      <c r="AV15" s="29">
        <v>1</v>
      </c>
      <c r="AW15" s="33">
        <v>4</v>
      </c>
      <c r="AX15" s="29" t="s">
        <v>114</v>
      </c>
      <c r="AY15" s="61"/>
      <c r="BA15" s="29">
        <v>1</v>
      </c>
      <c r="BB15" s="29" t="s">
        <v>71</v>
      </c>
      <c r="BC15" s="29">
        <v>63</v>
      </c>
      <c r="BD15" s="33" t="s">
        <v>116</v>
      </c>
      <c r="BE15" s="33" t="s">
        <v>142</v>
      </c>
      <c r="BF15" s="33">
        <v>43.8</v>
      </c>
      <c r="BG15" s="33" t="s">
        <v>285</v>
      </c>
      <c r="BH15" s="29">
        <v>3.2</v>
      </c>
      <c r="BI15" s="29">
        <v>1</v>
      </c>
      <c r="BJ15" s="33">
        <v>4.2</v>
      </c>
      <c r="BK15" s="29" t="s">
        <v>114</v>
      </c>
      <c r="BL15" s="29"/>
      <c r="BN15" s="29">
        <v>1</v>
      </c>
      <c r="BO15" s="29" t="s">
        <v>71</v>
      </c>
      <c r="BP15" s="29">
        <v>63</v>
      </c>
      <c r="BQ15" s="33" t="s">
        <v>286</v>
      </c>
      <c r="BR15" s="33" t="s">
        <v>287</v>
      </c>
      <c r="BS15" s="29">
        <v>45.4</v>
      </c>
      <c r="BT15" s="29" t="s">
        <v>276</v>
      </c>
      <c r="BU15" s="33">
        <v>3.5</v>
      </c>
      <c r="BV15" s="33">
        <v>1</v>
      </c>
      <c r="BW15" s="33">
        <v>4.5</v>
      </c>
      <c r="BX15" s="33" t="s">
        <v>114</v>
      </c>
      <c r="BY15" s="61"/>
    </row>
    <row r="16" spans="1:77" ht="14.25" customHeight="1">
      <c r="A16" s="15">
        <f>A15+1</f>
        <v>2</v>
      </c>
      <c r="B16" s="33" t="s">
        <v>71</v>
      </c>
      <c r="C16" s="33">
        <v>126.3</v>
      </c>
      <c r="D16" s="33" t="s">
        <v>275</v>
      </c>
      <c r="E16" s="33" t="s">
        <v>205</v>
      </c>
      <c r="F16" s="33">
        <f>433-10</f>
        <v>423</v>
      </c>
      <c r="G16" s="33" t="s">
        <v>276</v>
      </c>
      <c r="H16" s="33" t="s">
        <v>277</v>
      </c>
      <c r="I16" s="33" t="s">
        <v>278</v>
      </c>
      <c r="J16" s="134">
        <v>0.125</v>
      </c>
      <c r="K16" s="88"/>
      <c r="L16" s="137"/>
      <c r="N16" s="33">
        <v>2</v>
      </c>
      <c r="O16" s="33" t="s">
        <v>71</v>
      </c>
      <c r="P16" s="33">
        <v>140</v>
      </c>
      <c r="Q16" s="33" t="s">
        <v>280</v>
      </c>
      <c r="R16" s="33" t="s">
        <v>288</v>
      </c>
      <c r="S16" s="33">
        <v>68</v>
      </c>
      <c r="T16" s="61" t="s">
        <v>106</v>
      </c>
      <c r="U16" s="29">
        <v>3.3</v>
      </c>
      <c r="V16" s="29">
        <v>1</v>
      </c>
      <c r="W16" s="29">
        <v>4.3</v>
      </c>
      <c r="X16" s="29" t="s">
        <v>114</v>
      </c>
      <c r="Y16" s="61"/>
      <c r="AA16" s="29">
        <f>1+AA15</f>
        <v>2</v>
      </c>
      <c r="AB16" s="29" t="s">
        <v>71</v>
      </c>
      <c r="AC16" s="29">
        <v>63</v>
      </c>
      <c r="AD16" s="29" t="s">
        <v>289</v>
      </c>
      <c r="AE16" s="29" t="s">
        <v>290</v>
      </c>
      <c r="AF16" s="33">
        <v>305.2</v>
      </c>
      <c r="AG16" s="29" t="s">
        <v>276</v>
      </c>
      <c r="AH16" s="29">
        <v>3.5</v>
      </c>
      <c r="AI16" s="29">
        <v>1</v>
      </c>
      <c r="AJ16" s="29">
        <v>4.5</v>
      </c>
      <c r="AK16" s="29" t="s">
        <v>114</v>
      </c>
      <c r="AL16" s="61"/>
      <c r="AN16" s="29">
        <f>1+AN15</f>
        <v>2</v>
      </c>
      <c r="AO16" s="29" t="s">
        <v>71</v>
      </c>
      <c r="AP16" s="29">
        <v>63</v>
      </c>
      <c r="AQ16" s="33" t="s">
        <v>283</v>
      </c>
      <c r="AR16" s="33" t="s">
        <v>284</v>
      </c>
      <c r="AS16" s="33">
        <v>10.3</v>
      </c>
      <c r="AT16" s="33" t="s">
        <v>106</v>
      </c>
      <c r="AU16" s="29">
        <v>3</v>
      </c>
      <c r="AV16" s="29">
        <v>1</v>
      </c>
      <c r="AW16" s="33">
        <v>4</v>
      </c>
      <c r="AX16" s="29" t="s">
        <v>114</v>
      </c>
      <c r="AY16" s="61"/>
      <c r="BA16" s="29">
        <f>1+BA15</f>
        <v>2</v>
      </c>
      <c r="BB16" s="29" t="s">
        <v>71</v>
      </c>
      <c r="BC16" s="29">
        <v>63</v>
      </c>
      <c r="BD16" s="33" t="s">
        <v>116</v>
      </c>
      <c r="BE16" s="33" t="s">
        <v>142</v>
      </c>
      <c r="BF16" s="33">
        <v>17</v>
      </c>
      <c r="BG16" s="33" t="s">
        <v>285</v>
      </c>
      <c r="BH16" s="29">
        <v>3.2</v>
      </c>
      <c r="BI16" s="29">
        <v>1</v>
      </c>
      <c r="BJ16" s="33">
        <v>4.2</v>
      </c>
      <c r="BK16" s="29" t="s">
        <v>114</v>
      </c>
      <c r="BL16" s="29"/>
      <c r="BN16" s="29">
        <f>1+BN15</f>
        <v>2</v>
      </c>
      <c r="BO16" s="29" t="s">
        <v>71</v>
      </c>
      <c r="BP16" s="29">
        <v>63</v>
      </c>
      <c r="BQ16" s="33" t="s">
        <v>287</v>
      </c>
      <c r="BR16" s="33" t="s">
        <v>191</v>
      </c>
      <c r="BS16" s="29">
        <v>101.2</v>
      </c>
      <c r="BT16" s="29" t="s">
        <v>276</v>
      </c>
      <c r="BU16" s="33">
        <v>3.5</v>
      </c>
      <c r="BV16" s="33">
        <v>1</v>
      </c>
      <c r="BW16" s="33">
        <v>4.5</v>
      </c>
      <c r="BX16" s="33" t="s">
        <v>114</v>
      </c>
      <c r="BY16" s="61"/>
    </row>
    <row r="17" spans="1:77" ht="12.75" customHeight="1">
      <c r="A17" s="15">
        <f t="shared" ref="A17" si="0">A16+1</f>
        <v>3</v>
      </c>
      <c r="B17" s="88"/>
      <c r="C17" s="88"/>
      <c r="D17" s="88"/>
      <c r="E17" s="88"/>
      <c r="F17" s="88"/>
      <c r="G17" s="88"/>
      <c r="H17" s="88"/>
      <c r="I17" s="88"/>
      <c r="J17" s="88"/>
      <c r="K17" s="88"/>
      <c r="L17" s="137"/>
      <c r="N17" s="33">
        <f>2+N15</f>
        <v>3</v>
      </c>
      <c r="O17" s="33" t="s">
        <v>71</v>
      </c>
      <c r="P17" s="33">
        <v>140</v>
      </c>
      <c r="Q17" s="33" t="s">
        <v>288</v>
      </c>
      <c r="R17" s="33" t="s">
        <v>291</v>
      </c>
      <c r="S17" s="33">
        <v>34.5</v>
      </c>
      <c r="T17" s="61" t="s">
        <v>106</v>
      </c>
      <c r="U17" s="29">
        <v>3.3</v>
      </c>
      <c r="V17" s="29">
        <v>1</v>
      </c>
      <c r="W17" s="29">
        <v>4.3</v>
      </c>
      <c r="X17" s="29" t="s">
        <v>114</v>
      </c>
      <c r="Y17" s="61"/>
      <c r="AA17" s="29">
        <f t="shared" ref="AA17:AA38" si="1">1+AA16</f>
        <v>3</v>
      </c>
      <c r="AB17" s="29" t="s">
        <v>71</v>
      </c>
      <c r="AC17" s="29">
        <v>63</v>
      </c>
      <c r="AD17" s="33" t="s">
        <v>271</v>
      </c>
      <c r="AE17" s="33" t="s">
        <v>292</v>
      </c>
      <c r="AF17" s="33">
        <v>133.1</v>
      </c>
      <c r="AG17" s="29" t="s">
        <v>276</v>
      </c>
      <c r="AH17" s="29">
        <v>3.5</v>
      </c>
      <c r="AI17" s="29">
        <v>1</v>
      </c>
      <c r="AJ17" s="29">
        <v>4.5</v>
      </c>
      <c r="AK17" s="29" t="s">
        <v>114</v>
      </c>
      <c r="AL17" s="61"/>
      <c r="AN17" s="29">
        <f t="shared" ref="AN17:AN61" si="2">1+AN16</f>
        <v>3</v>
      </c>
      <c r="AO17" s="29" t="s">
        <v>71</v>
      </c>
      <c r="AP17" s="29">
        <v>63</v>
      </c>
      <c r="AQ17" s="33" t="s">
        <v>284</v>
      </c>
      <c r="AR17" s="33" t="s">
        <v>293</v>
      </c>
      <c r="AS17" s="29">
        <v>56</v>
      </c>
      <c r="AT17" s="33" t="s">
        <v>106</v>
      </c>
      <c r="AU17" s="29">
        <v>3</v>
      </c>
      <c r="AV17" s="29">
        <v>1</v>
      </c>
      <c r="AW17" s="33">
        <v>4</v>
      </c>
      <c r="AX17" s="29" t="s">
        <v>114</v>
      </c>
      <c r="AY17" s="61"/>
      <c r="BA17" s="29">
        <f t="shared" ref="BA17:BA54" si="3">1+BA16</f>
        <v>3</v>
      </c>
      <c r="BB17" s="29" t="s">
        <v>71</v>
      </c>
      <c r="BC17" s="29">
        <v>63</v>
      </c>
      <c r="BD17" s="33" t="s">
        <v>294</v>
      </c>
      <c r="BE17" s="33" t="s">
        <v>246</v>
      </c>
      <c r="BF17" s="33">
        <v>25.8</v>
      </c>
      <c r="BG17" s="33" t="s">
        <v>285</v>
      </c>
      <c r="BH17" s="29">
        <v>3.2</v>
      </c>
      <c r="BI17" s="29">
        <v>1</v>
      </c>
      <c r="BJ17" s="33">
        <v>4.2</v>
      </c>
      <c r="BK17" s="29" t="s">
        <v>114</v>
      </c>
      <c r="BL17" s="29"/>
      <c r="BN17" s="29">
        <f t="shared" ref="BN17:BN29" si="4">1+BN16</f>
        <v>3</v>
      </c>
      <c r="BO17" s="29" t="s">
        <v>71</v>
      </c>
      <c r="BP17" s="29">
        <v>63</v>
      </c>
      <c r="BQ17" s="33" t="s">
        <v>191</v>
      </c>
      <c r="BR17" s="33" t="s">
        <v>244</v>
      </c>
      <c r="BS17" s="29">
        <v>31.6</v>
      </c>
      <c r="BT17" s="29" t="s">
        <v>276</v>
      </c>
      <c r="BU17" s="33">
        <v>3.5</v>
      </c>
      <c r="BV17" s="33">
        <v>1</v>
      </c>
      <c r="BW17" s="33">
        <v>4.5</v>
      </c>
      <c r="BX17" s="33" t="s">
        <v>114</v>
      </c>
      <c r="BY17" s="61"/>
    </row>
    <row r="18" spans="1:77" ht="13.5" customHeight="1">
      <c r="A18" s="238"/>
      <c r="B18" s="222"/>
      <c r="C18" s="239" t="s">
        <v>86</v>
      </c>
      <c r="D18" s="240"/>
      <c r="E18" s="240"/>
      <c r="F18" s="241"/>
      <c r="G18" s="239" t="s">
        <v>87</v>
      </c>
      <c r="H18" s="240"/>
      <c r="I18" s="241"/>
      <c r="J18" s="239" t="s">
        <v>39</v>
      </c>
      <c r="K18" s="240"/>
      <c r="L18" s="242"/>
      <c r="N18" s="33">
        <f t="shared" ref="N18:N45" si="5">2+N16</f>
        <v>4</v>
      </c>
      <c r="O18" s="33" t="s">
        <v>71</v>
      </c>
      <c r="P18" s="33">
        <v>125</v>
      </c>
      <c r="Q18" s="33" t="s">
        <v>280</v>
      </c>
      <c r="R18" s="33" t="s">
        <v>295</v>
      </c>
      <c r="S18" s="33">
        <v>88</v>
      </c>
      <c r="T18" s="61" t="s">
        <v>106</v>
      </c>
      <c r="U18" s="29">
        <v>3.3</v>
      </c>
      <c r="V18" s="29">
        <v>1</v>
      </c>
      <c r="W18" s="29">
        <v>4.3</v>
      </c>
      <c r="X18" s="29" t="s">
        <v>114</v>
      </c>
      <c r="Y18" s="61"/>
      <c r="AA18" s="29">
        <f t="shared" si="1"/>
        <v>4</v>
      </c>
      <c r="AB18" s="29" t="s">
        <v>71</v>
      </c>
      <c r="AC18" s="29">
        <v>63</v>
      </c>
      <c r="AD18" s="33" t="s">
        <v>292</v>
      </c>
      <c r="AE18" s="29" t="s">
        <v>289</v>
      </c>
      <c r="AF18" s="33">
        <v>211.3</v>
      </c>
      <c r="AG18" s="29" t="s">
        <v>276</v>
      </c>
      <c r="AH18" s="29">
        <v>3.5</v>
      </c>
      <c r="AI18" s="29">
        <v>1</v>
      </c>
      <c r="AJ18" s="29">
        <v>4.5</v>
      </c>
      <c r="AK18" s="29" t="s">
        <v>114</v>
      </c>
      <c r="AL18" s="61"/>
      <c r="AN18" s="29">
        <f t="shared" si="2"/>
        <v>4</v>
      </c>
      <c r="AO18" s="29" t="s">
        <v>71</v>
      </c>
      <c r="AP18" s="29">
        <v>63</v>
      </c>
      <c r="AQ18" s="33" t="s">
        <v>293</v>
      </c>
      <c r="AR18" s="33" t="s">
        <v>296</v>
      </c>
      <c r="AS18" s="33">
        <v>20</v>
      </c>
      <c r="AT18" s="33" t="s">
        <v>106</v>
      </c>
      <c r="AU18" s="29">
        <v>3</v>
      </c>
      <c r="AV18" s="29">
        <v>1</v>
      </c>
      <c r="AW18" s="33">
        <v>4</v>
      </c>
      <c r="AX18" s="29" t="s">
        <v>114</v>
      </c>
      <c r="AY18" s="61"/>
      <c r="BA18" s="29">
        <f t="shared" si="3"/>
        <v>4</v>
      </c>
      <c r="BB18" s="29" t="s">
        <v>71</v>
      </c>
      <c r="BC18" s="29">
        <v>63</v>
      </c>
      <c r="BD18" s="33" t="s">
        <v>294</v>
      </c>
      <c r="BE18" s="33" t="s">
        <v>246</v>
      </c>
      <c r="BF18" s="33">
        <v>4.4000000000000004</v>
      </c>
      <c r="BG18" s="33" t="s">
        <v>285</v>
      </c>
      <c r="BH18" s="29">
        <v>3.2</v>
      </c>
      <c r="BI18" s="29">
        <v>1</v>
      </c>
      <c r="BJ18" s="33">
        <v>4.2</v>
      </c>
      <c r="BK18" s="29" t="s">
        <v>114</v>
      </c>
      <c r="BL18" s="29"/>
      <c r="BN18" s="29">
        <f t="shared" si="4"/>
        <v>4</v>
      </c>
      <c r="BO18" s="29" t="s">
        <v>71</v>
      </c>
      <c r="BP18" s="29">
        <v>63</v>
      </c>
      <c r="BQ18" s="33" t="s">
        <v>191</v>
      </c>
      <c r="BR18" s="33" t="s">
        <v>297</v>
      </c>
      <c r="BS18" s="29">
        <v>121.1</v>
      </c>
      <c r="BT18" s="29" t="s">
        <v>276</v>
      </c>
      <c r="BU18" s="33">
        <v>3.5</v>
      </c>
      <c r="BV18" s="33">
        <v>1</v>
      </c>
      <c r="BW18" s="33">
        <v>4.5</v>
      </c>
      <c r="BX18" s="33" t="s">
        <v>114</v>
      </c>
      <c r="BY18" s="61"/>
    </row>
    <row r="19" spans="1:77" ht="15.75" customHeight="1">
      <c r="A19" s="230" t="s">
        <v>40</v>
      </c>
      <c r="B19" s="189"/>
      <c r="C19" s="234"/>
      <c r="D19" s="235"/>
      <c r="E19" s="235"/>
      <c r="F19" s="236"/>
      <c r="G19" s="234"/>
      <c r="H19" s="235"/>
      <c r="I19" s="236"/>
      <c r="J19" s="234"/>
      <c r="K19" s="235"/>
      <c r="L19" s="237"/>
      <c r="N19" s="33">
        <f t="shared" si="5"/>
        <v>5</v>
      </c>
      <c r="O19" s="33" t="s">
        <v>71</v>
      </c>
      <c r="P19" s="33">
        <v>125</v>
      </c>
      <c r="Q19" s="33" t="s">
        <v>295</v>
      </c>
      <c r="R19" s="33" t="s">
        <v>298</v>
      </c>
      <c r="S19" s="33">
        <v>94.3</v>
      </c>
      <c r="T19" s="61" t="s">
        <v>106</v>
      </c>
      <c r="U19" s="29">
        <v>3.3</v>
      </c>
      <c r="V19" s="29">
        <v>1</v>
      </c>
      <c r="W19" s="29">
        <v>4.3</v>
      </c>
      <c r="X19" s="29" t="s">
        <v>114</v>
      </c>
      <c r="Y19" s="61"/>
      <c r="AA19" s="29">
        <f t="shared" si="1"/>
        <v>5</v>
      </c>
      <c r="AB19" s="29" t="s">
        <v>71</v>
      </c>
      <c r="AC19" s="29">
        <v>63</v>
      </c>
      <c r="AD19" s="33" t="s">
        <v>292</v>
      </c>
      <c r="AE19" s="29" t="s">
        <v>289</v>
      </c>
      <c r="AF19" s="33">
        <v>7.5</v>
      </c>
      <c r="AG19" s="29" t="s">
        <v>276</v>
      </c>
      <c r="AH19" s="29">
        <v>3.5</v>
      </c>
      <c r="AI19" s="29">
        <v>1</v>
      </c>
      <c r="AJ19" s="29">
        <v>4.5</v>
      </c>
      <c r="AK19" s="29" t="s">
        <v>114</v>
      </c>
      <c r="AL19" s="61"/>
      <c r="AN19" s="29">
        <f t="shared" si="2"/>
        <v>5</v>
      </c>
      <c r="AO19" s="29" t="s">
        <v>71</v>
      </c>
      <c r="AP19" s="29">
        <v>63</v>
      </c>
      <c r="AQ19" s="33" t="s">
        <v>293</v>
      </c>
      <c r="AR19" s="33" t="s">
        <v>299</v>
      </c>
      <c r="AS19" s="33">
        <v>12.6</v>
      </c>
      <c r="AT19" s="33" t="s">
        <v>106</v>
      </c>
      <c r="AU19" s="29">
        <v>3</v>
      </c>
      <c r="AV19" s="29">
        <v>1</v>
      </c>
      <c r="AW19" s="33">
        <v>4</v>
      </c>
      <c r="AX19" s="29" t="s">
        <v>114</v>
      </c>
      <c r="AY19" s="61"/>
      <c r="BA19" s="29">
        <f t="shared" si="3"/>
        <v>5</v>
      </c>
      <c r="BB19" s="29" t="s">
        <v>71</v>
      </c>
      <c r="BC19" s="29">
        <v>63</v>
      </c>
      <c r="BD19" s="33" t="s">
        <v>246</v>
      </c>
      <c r="BE19" s="33" t="s">
        <v>300</v>
      </c>
      <c r="BF19" s="33">
        <v>109.5</v>
      </c>
      <c r="BG19" s="33" t="s">
        <v>285</v>
      </c>
      <c r="BH19" s="29">
        <v>3.2</v>
      </c>
      <c r="BI19" s="29">
        <v>1</v>
      </c>
      <c r="BJ19" s="33">
        <v>4.2</v>
      </c>
      <c r="BK19" s="29" t="s">
        <v>114</v>
      </c>
      <c r="BL19" s="29"/>
      <c r="BN19" s="29">
        <f t="shared" si="4"/>
        <v>5</v>
      </c>
      <c r="BO19" s="29" t="s">
        <v>71</v>
      </c>
      <c r="BP19" s="29">
        <v>63</v>
      </c>
      <c r="BQ19" s="29" t="s">
        <v>297</v>
      </c>
      <c r="BR19" s="29" t="s">
        <v>153</v>
      </c>
      <c r="BS19" s="29">
        <v>34</v>
      </c>
      <c r="BT19" s="29" t="s">
        <v>276</v>
      </c>
      <c r="BU19" s="33">
        <v>3.5</v>
      </c>
      <c r="BV19" s="33">
        <v>1</v>
      </c>
      <c r="BW19" s="33">
        <v>4.5</v>
      </c>
      <c r="BX19" s="33" t="s">
        <v>114</v>
      </c>
      <c r="BY19" s="61"/>
    </row>
    <row r="20" spans="1:77" ht="14.25" customHeight="1">
      <c r="A20" s="230" t="s">
        <v>42</v>
      </c>
      <c r="B20" s="189"/>
      <c r="C20" s="234"/>
      <c r="D20" s="235"/>
      <c r="E20" s="235"/>
      <c r="F20" s="236"/>
      <c r="G20" s="234"/>
      <c r="H20" s="235"/>
      <c r="I20" s="236"/>
      <c r="J20" s="234"/>
      <c r="K20" s="235"/>
      <c r="L20" s="237"/>
      <c r="N20" s="33">
        <f t="shared" si="5"/>
        <v>6</v>
      </c>
      <c r="O20" s="33" t="s">
        <v>71</v>
      </c>
      <c r="P20" s="29">
        <v>63</v>
      </c>
      <c r="Q20" s="33" t="s">
        <v>301</v>
      </c>
      <c r="R20" s="33" t="s">
        <v>302</v>
      </c>
      <c r="S20" s="33">
        <v>733.7</v>
      </c>
      <c r="T20" s="61" t="s">
        <v>106</v>
      </c>
      <c r="U20" s="29">
        <v>3.3</v>
      </c>
      <c r="V20" s="29">
        <v>1</v>
      </c>
      <c r="W20" s="29">
        <v>4.3</v>
      </c>
      <c r="X20" s="29" t="s">
        <v>114</v>
      </c>
      <c r="Y20" s="61"/>
      <c r="AA20" s="29">
        <f t="shared" si="1"/>
        <v>6</v>
      </c>
      <c r="AB20" s="29" t="s">
        <v>71</v>
      </c>
      <c r="AC20" s="29">
        <v>63</v>
      </c>
      <c r="AD20" s="29" t="s">
        <v>289</v>
      </c>
      <c r="AE20" s="29" t="s">
        <v>303</v>
      </c>
      <c r="AF20" s="33">
        <v>106.3</v>
      </c>
      <c r="AG20" s="29" t="s">
        <v>276</v>
      </c>
      <c r="AH20" s="29">
        <v>3.5</v>
      </c>
      <c r="AI20" s="29">
        <v>1</v>
      </c>
      <c r="AJ20" s="29">
        <v>4.5</v>
      </c>
      <c r="AK20" s="29" t="s">
        <v>114</v>
      </c>
      <c r="AL20" s="61"/>
      <c r="AN20" s="29">
        <f t="shared" si="2"/>
        <v>6</v>
      </c>
      <c r="AO20" s="29" t="s">
        <v>71</v>
      </c>
      <c r="AP20" s="29">
        <v>63</v>
      </c>
      <c r="AQ20" s="33" t="s">
        <v>299</v>
      </c>
      <c r="AR20" s="33" t="s">
        <v>304</v>
      </c>
      <c r="AS20" s="33">
        <v>93</v>
      </c>
      <c r="AT20" s="33" t="s">
        <v>106</v>
      </c>
      <c r="AU20" s="29">
        <v>3</v>
      </c>
      <c r="AV20" s="29">
        <v>1</v>
      </c>
      <c r="AW20" s="33">
        <v>4</v>
      </c>
      <c r="AX20" s="29" t="s">
        <v>114</v>
      </c>
      <c r="AY20" s="61"/>
      <c r="BA20" s="29">
        <f t="shared" si="3"/>
        <v>6</v>
      </c>
      <c r="BB20" s="29" t="s">
        <v>71</v>
      </c>
      <c r="BC20" s="29">
        <v>63</v>
      </c>
      <c r="BD20" s="33" t="s">
        <v>171</v>
      </c>
      <c r="BE20" s="33" t="s">
        <v>246</v>
      </c>
      <c r="BF20" s="33">
        <v>24</v>
      </c>
      <c r="BG20" s="33" t="s">
        <v>285</v>
      </c>
      <c r="BH20" s="29">
        <v>3.2</v>
      </c>
      <c r="BI20" s="29">
        <v>1</v>
      </c>
      <c r="BJ20" s="33">
        <v>4.2</v>
      </c>
      <c r="BK20" s="29" t="s">
        <v>114</v>
      </c>
      <c r="BL20" s="29"/>
      <c r="BN20" s="29">
        <f t="shared" si="4"/>
        <v>6</v>
      </c>
      <c r="BO20" s="29" t="s">
        <v>71</v>
      </c>
      <c r="BP20" s="29">
        <v>63</v>
      </c>
      <c r="BQ20" s="29" t="s">
        <v>153</v>
      </c>
      <c r="BR20" s="29" t="s">
        <v>305</v>
      </c>
      <c r="BS20" s="29">
        <v>22.8</v>
      </c>
      <c r="BT20" s="29" t="s">
        <v>276</v>
      </c>
      <c r="BU20" s="33">
        <v>3.5</v>
      </c>
      <c r="BV20" s="33">
        <v>1</v>
      </c>
      <c r="BW20" s="33">
        <v>4.5</v>
      </c>
      <c r="BX20" s="33" t="s">
        <v>114</v>
      </c>
      <c r="BY20" s="61"/>
    </row>
    <row r="21" spans="1:77">
      <c r="N21" s="33">
        <f t="shared" si="5"/>
        <v>7</v>
      </c>
      <c r="O21" s="33" t="s">
        <v>71</v>
      </c>
      <c r="P21" s="29">
        <v>63</v>
      </c>
      <c r="Q21" s="33" t="s">
        <v>301</v>
      </c>
      <c r="R21" s="33" t="s">
        <v>306</v>
      </c>
      <c r="S21" s="33">
        <v>116</v>
      </c>
      <c r="T21" s="61" t="s">
        <v>106</v>
      </c>
      <c r="U21" s="29">
        <v>3.3</v>
      </c>
      <c r="V21" s="29">
        <v>1</v>
      </c>
      <c r="W21" s="29">
        <v>4.3</v>
      </c>
      <c r="X21" s="29" t="s">
        <v>114</v>
      </c>
      <c r="Y21" s="61"/>
      <c r="AA21" s="29">
        <f t="shared" si="1"/>
        <v>7</v>
      </c>
      <c r="AB21" s="29" t="s">
        <v>71</v>
      </c>
      <c r="AC21" s="29">
        <v>63</v>
      </c>
      <c r="AD21" s="29" t="s">
        <v>303</v>
      </c>
      <c r="AE21" s="29" t="s">
        <v>307</v>
      </c>
      <c r="AF21" s="33">
        <v>132.80000000000001</v>
      </c>
      <c r="AG21" s="29" t="s">
        <v>276</v>
      </c>
      <c r="AH21" s="29">
        <v>3.5</v>
      </c>
      <c r="AI21" s="29">
        <v>1</v>
      </c>
      <c r="AJ21" s="29">
        <v>4.5</v>
      </c>
      <c r="AK21" s="29" t="s">
        <v>114</v>
      </c>
      <c r="AL21" s="61"/>
      <c r="AN21" s="29">
        <f t="shared" si="2"/>
        <v>7</v>
      </c>
      <c r="AO21" s="29" t="s">
        <v>71</v>
      </c>
      <c r="AP21" s="29">
        <v>63</v>
      </c>
      <c r="AQ21" s="33" t="s">
        <v>304</v>
      </c>
      <c r="AR21" s="29" t="s">
        <v>308</v>
      </c>
      <c r="AS21" s="29">
        <v>100.2</v>
      </c>
      <c r="AT21" s="33" t="s">
        <v>106</v>
      </c>
      <c r="AU21" s="29">
        <v>3</v>
      </c>
      <c r="AV21" s="29">
        <v>1</v>
      </c>
      <c r="AW21" s="33">
        <v>4</v>
      </c>
      <c r="AX21" s="29" t="s">
        <v>114</v>
      </c>
      <c r="AY21" s="61"/>
      <c r="BA21" s="29">
        <f t="shared" si="3"/>
        <v>7</v>
      </c>
      <c r="BB21" s="29" t="s">
        <v>71</v>
      </c>
      <c r="BC21" s="29">
        <v>63</v>
      </c>
      <c r="BD21" s="33" t="s">
        <v>309</v>
      </c>
      <c r="BE21" s="33" t="s">
        <v>310</v>
      </c>
      <c r="BF21" s="33">
        <v>32</v>
      </c>
      <c r="BG21" s="33" t="s">
        <v>285</v>
      </c>
      <c r="BH21" s="29">
        <v>3.2</v>
      </c>
      <c r="BI21" s="29">
        <v>1</v>
      </c>
      <c r="BJ21" s="33">
        <v>4.2</v>
      </c>
      <c r="BK21" s="29" t="s">
        <v>114</v>
      </c>
      <c r="BL21" s="29"/>
      <c r="BN21" s="29">
        <f t="shared" si="4"/>
        <v>7</v>
      </c>
      <c r="BO21" s="29" t="s">
        <v>71</v>
      </c>
      <c r="BP21" s="29">
        <v>63</v>
      </c>
      <c r="BQ21" s="29" t="s">
        <v>153</v>
      </c>
      <c r="BR21" s="29" t="s">
        <v>129</v>
      </c>
      <c r="BS21" s="29">
        <v>55.4</v>
      </c>
      <c r="BT21" s="29" t="s">
        <v>276</v>
      </c>
      <c r="BU21" s="33">
        <v>3.5</v>
      </c>
      <c r="BV21" s="33">
        <v>1</v>
      </c>
      <c r="BW21" s="33">
        <v>4.5</v>
      </c>
      <c r="BX21" s="33" t="s">
        <v>114</v>
      </c>
      <c r="BY21" s="61"/>
    </row>
    <row r="22" spans="1:77">
      <c r="N22" s="33">
        <f t="shared" si="5"/>
        <v>8</v>
      </c>
      <c r="O22" s="33" t="s">
        <v>71</v>
      </c>
      <c r="P22" s="29">
        <v>63</v>
      </c>
      <c r="Q22" s="33" t="s">
        <v>301</v>
      </c>
      <c r="R22" s="33" t="s">
        <v>306</v>
      </c>
      <c r="S22" s="33">
        <v>3.5</v>
      </c>
      <c r="T22" s="61" t="s">
        <v>106</v>
      </c>
      <c r="U22" s="29">
        <v>3.3</v>
      </c>
      <c r="V22" s="29">
        <v>1</v>
      </c>
      <c r="W22" s="29">
        <v>4.3</v>
      </c>
      <c r="X22" s="29" t="s">
        <v>114</v>
      </c>
      <c r="Y22" s="61"/>
      <c r="AA22" s="29">
        <f t="shared" si="1"/>
        <v>8</v>
      </c>
      <c r="AB22" s="29" t="s">
        <v>71</v>
      </c>
      <c r="AC22" s="29">
        <v>63</v>
      </c>
      <c r="AD22" s="33" t="s">
        <v>307</v>
      </c>
      <c r="AE22" s="33" t="s">
        <v>311</v>
      </c>
      <c r="AF22" s="33">
        <v>61.4</v>
      </c>
      <c r="AG22" s="29" t="s">
        <v>276</v>
      </c>
      <c r="AH22" s="29">
        <v>3.5</v>
      </c>
      <c r="AI22" s="29">
        <v>1</v>
      </c>
      <c r="AJ22" s="29">
        <v>4.5</v>
      </c>
      <c r="AK22" s="29" t="s">
        <v>114</v>
      </c>
      <c r="AL22" s="61"/>
      <c r="AN22" s="29">
        <f t="shared" si="2"/>
        <v>8</v>
      </c>
      <c r="AO22" s="29" t="s">
        <v>71</v>
      </c>
      <c r="AP22" s="29">
        <v>63</v>
      </c>
      <c r="AQ22" s="33" t="s">
        <v>304</v>
      </c>
      <c r="AR22" s="29" t="s">
        <v>308</v>
      </c>
      <c r="AS22" s="29">
        <v>12.8</v>
      </c>
      <c r="AT22" s="33" t="s">
        <v>106</v>
      </c>
      <c r="AU22" s="29">
        <v>3</v>
      </c>
      <c r="AV22" s="29">
        <v>1</v>
      </c>
      <c r="AW22" s="33">
        <v>4</v>
      </c>
      <c r="AX22" s="29" t="s">
        <v>114</v>
      </c>
      <c r="AY22" s="61"/>
      <c r="BA22" s="29">
        <f t="shared" si="3"/>
        <v>8</v>
      </c>
      <c r="BB22" s="29" t="s">
        <v>71</v>
      </c>
      <c r="BC22" s="29">
        <v>63</v>
      </c>
      <c r="BD22" s="33" t="s">
        <v>312</v>
      </c>
      <c r="BE22" s="33" t="s">
        <v>313</v>
      </c>
      <c r="BF22" s="33">
        <v>35.4</v>
      </c>
      <c r="BG22" s="33" t="s">
        <v>285</v>
      </c>
      <c r="BH22" s="29">
        <v>3.2</v>
      </c>
      <c r="BI22" s="29">
        <v>1</v>
      </c>
      <c r="BJ22" s="33">
        <v>4.2</v>
      </c>
      <c r="BK22" s="29" t="s">
        <v>114</v>
      </c>
      <c r="BL22" s="29"/>
      <c r="BN22" s="29">
        <f t="shared" si="4"/>
        <v>8</v>
      </c>
      <c r="BO22" s="29" t="s">
        <v>71</v>
      </c>
      <c r="BP22" s="29">
        <v>63</v>
      </c>
      <c r="BQ22" s="29" t="s">
        <v>128</v>
      </c>
      <c r="BR22" s="29" t="s">
        <v>314</v>
      </c>
      <c r="BS22" s="29">
        <v>38.9</v>
      </c>
      <c r="BT22" s="29" t="s">
        <v>276</v>
      </c>
      <c r="BU22" s="33">
        <v>3.5</v>
      </c>
      <c r="BV22" s="33">
        <v>1</v>
      </c>
      <c r="BW22" s="33">
        <v>4.5</v>
      </c>
      <c r="BX22" s="33" t="s">
        <v>114</v>
      </c>
      <c r="BY22" s="61"/>
    </row>
    <row r="23" spans="1:77">
      <c r="N23" s="33">
        <f t="shared" si="5"/>
        <v>9</v>
      </c>
      <c r="O23" s="33" t="s">
        <v>71</v>
      </c>
      <c r="P23" s="29">
        <v>63</v>
      </c>
      <c r="Q23" s="33" t="s">
        <v>302</v>
      </c>
      <c r="R23" s="33" t="s">
        <v>315</v>
      </c>
      <c r="S23" s="33">
        <v>33.4</v>
      </c>
      <c r="T23" s="61" t="s">
        <v>106</v>
      </c>
      <c r="U23" s="29">
        <v>3.3</v>
      </c>
      <c r="V23" s="29">
        <v>1</v>
      </c>
      <c r="W23" s="29">
        <v>4.3</v>
      </c>
      <c r="X23" s="29" t="s">
        <v>114</v>
      </c>
      <c r="Y23" s="61"/>
      <c r="AA23" s="29">
        <f t="shared" si="1"/>
        <v>9</v>
      </c>
      <c r="AB23" s="29" t="s">
        <v>71</v>
      </c>
      <c r="AC23" s="29">
        <v>63</v>
      </c>
      <c r="AD23" s="33" t="s">
        <v>307</v>
      </c>
      <c r="AE23" s="33" t="s">
        <v>316</v>
      </c>
      <c r="AF23" s="33">
        <v>31.9</v>
      </c>
      <c r="AG23" s="29" t="s">
        <v>276</v>
      </c>
      <c r="AH23" s="29">
        <v>3.5</v>
      </c>
      <c r="AI23" s="29">
        <v>1</v>
      </c>
      <c r="AJ23" s="29">
        <v>4.5</v>
      </c>
      <c r="AK23" s="29" t="s">
        <v>114</v>
      </c>
      <c r="AL23" s="61"/>
      <c r="AN23" s="29">
        <f t="shared" si="2"/>
        <v>9</v>
      </c>
      <c r="AO23" s="29" t="s">
        <v>71</v>
      </c>
      <c r="AP23" s="29">
        <v>63</v>
      </c>
      <c r="AQ23" s="33" t="s">
        <v>308</v>
      </c>
      <c r="AR23" s="33" t="s">
        <v>317</v>
      </c>
      <c r="AS23" s="29">
        <v>21.7</v>
      </c>
      <c r="AT23" s="33" t="s">
        <v>106</v>
      </c>
      <c r="AU23" s="29">
        <v>3</v>
      </c>
      <c r="AV23" s="29">
        <v>1</v>
      </c>
      <c r="AW23" s="33">
        <v>4</v>
      </c>
      <c r="AX23" s="29" t="s">
        <v>114</v>
      </c>
      <c r="AY23" s="61"/>
      <c r="BA23" s="29">
        <f t="shared" si="3"/>
        <v>9</v>
      </c>
      <c r="BB23" s="29" t="s">
        <v>71</v>
      </c>
      <c r="BC23" s="29">
        <v>63</v>
      </c>
      <c r="BD23" s="29" t="s">
        <v>318</v>
      </c>
      <c r="BE23" s="29" t="s">
        <v>319</v>
      </c>
      <c r="BF23" s="29">
        <v>2.2999999999999998</v>
      </c>
      <c r="BG23" s="33" t="s">
        <v>285</v>
      </c>
      <c r="BH23" s="29">
        <v>3.2</v>
      </c>
      <c r="BI23" s="29">
        <v>1</v>
      </c>
      <c r="BJ23" s="33">
        <v>4.2</v>
      </c>
      <c r="BK23" s="29" t="s">
        <v>114</v>
      </c>
      <c r="BL23" s="29"/>
      <c r="BN23" s="29">
        <f t="shared" si="4"/>
        <v>9</v>
      </c>
      <c r="BO23" s="29" t="s">
        <v>71</v>
      </c>
      <c r="BP23" s="29">
        <v>63</v>
      </c>
      <c r="BQ23" s="29" t="s">
        <v>314</v>
      </c>
      <c r="BR23" s="29" t="s">
        <v>320</v>
      </c>
      <c r="BS23" s="29">
        <v>36.700000000000003</v>
      </c>
      <c r="BT23" s="29" t="s">
        <v>276</v>
      </c>
      <c r="BU23" s="33">
        <v>3.5</v>
      </c>
      <c r="BV23" s="33">
        <v>1</v>
      </c>
      <c r="BW23" s="33">
        <v>4.5</v>
      </c>
      <c r="BX23" s="33" t="s">
        <v>114</v>
      </c>
      <c r="BY23" s="61"/>
    </row>
    <row r="24" spans="1:77">
      <c r="N24" s="33">
        <f t="shared" si="5"/>
        <v>10</v>
      </c>
      <c r="O24" s="33" t="s">
        <v>71</v>
      </c>
      <c r="P24" s="29">
        <v>63</v>
      </c>
      <c r="Q24" s="33" t="s">
        <v>315</v>
      </c>
      <c r="R24" s="33" t="s">
        <v>321</v>
      </c>
      <c r="S24" s="33">
        <v>65.099999999999994</v>
      </c>
      <c r="T24" s="61" t="s">
        <v>106</v>
      </c>
      <c r="U24" s="29">
        <v>3.3</v>
      </c>
      <c r="V24" s="29">
        <v>1</v>
      </c>
      <c r="W24" s="29">
        <v>4.3</v>
      </c>
      <c r="X24" s="29" t="s">
        <v>114</v>
      </c>
      <c r="Y24" s="61"/>
      <c r="AA24" s="29">
        <f t="shared" si="1"/>
        <v>10</v>
      </c>
      <c r="AB24" s="29" t="s">
        <v>71</v>
      </c>
      <c r="AC24" s="29">
        <v>63</v>
      </c>
      <c r="AD24" s="33" t="s">
        <v>316</v>
      </c>
      <c r="AE24" s="33" t="s">
        <v>322</v>
      </c>
      <c r="AF24" s="33">
        <v>61.4</v>
      </c>
      <c r="AG24" s="29" t="s">
        <v>276</v>
      </c>
      <c r="AH24" s="29">
        <v>3.5</v>
      </c>
      <c r="AI24" s="29">
        <v>1</v>
      </c>
      <c r="AJ24" s="29">
        <v>4.5</v>
      </c>
      <c r="AK24" s="29" t="s">
        <v>114</v>
      </c>
      <c r="AL24" s="61"/>
      <c r="AN24" s="29">
        <f t="shared" si="2"/>
        <v>10</v>
      </c>
      <c r="AO24" s="29" t="s">
        <v>71</v>
      </c>
      <c r="AP24" s="29">
        <v>63</v>
      </c>
      <c r="AQ24" s="29" t="s">
        <v>317</v>
      </c>
      <c r="AR24" s="29" t="s">
        <v>323</v>
      </c>
      <c r="AS24" s="29">
        <v>78</v>
      </c>
      <c r="AT24" s="33" t="s">
        <v>106</v>
      </c>
      <c r="AU24" s="29">
        <v>3</v>
      </c>
      <c r="AV24" s="29">
        <v>1</v>
      </c>
      <c r="AW24" s="33">
        <v>4</v>
      </c>
      <c r="AX24" s="29" t="s">
        <v>114</v>
      </c>
      <c r="AY24" s="61"/>
      <c r="BA24" s="29">
        <f t="shared" si="3"/>
        <v>10</v>
      </c>
      <c r="BB24" s="29" t="s">
        <v>71</v>
      </c>
      <c r="BC24" s="29">
        <v>63</v>
      </c>
      <c r="BD24" s="29" t="s">
        <v>318</v>
      </c>
      <c r="BE24" s="29" t="s">
        <v>319</v>
      </c>
      <c r="BF24" s="29">
        <v>232.7</v>
      </c>
      <c r="BG24" s="33" t="s">
        <v>285</v>
      </c>
      <c r="BH24" s="29">
        <v>3.2</v>
      </c>
      <c r="BI24" s="29">
        <v>1</v>
      </c>
      <c r="BJ24" s="33">
        <v>4.2</v>
      </c>
      <c r="BK24" s="29" t="s">
        <v>114</v>
      </c>
      <c r="BL24" s="29"/>
      <c r="BN24" s="29">
        <f t="shared" si="4"/>
        <v>10</v>
      </c>
      <c r="BO24" s="29" t="s">
        <v>71</v>
      </c>
      <c r="BP24" s="29">
        <v>63</v>
      </c>
      <c r="BQ24" s="29" t="s">
        <v>223</v>
      </c>
      <c r="BR24" s="29" t="s">
        <v>314</v>
      </c>
      <c r="BS24" s="29">
        <v>19.2</v>
      </c>
      <c r="BT24" s="29" t="s">
        <v>276</v>
      </c>
      <c r="BU24" s="33">
        <v>3.5</v>
      </c>
      <c r="BV24" s="33">
        <v>1</v>
      </c>
      <c r="BW24" s="33">
        <v>4.5</v>
      </c>
      <c r="BX24" s="33" t="s">
        <v>114</v>
      </c>
      <c r="BY24" s="61"/>
    </row>
    <row r="25" spans="1:77">
      <c r="N25" s="33">
        <f t="shared" si="5"/>
        <v>11</v>
      </c>
      <c r="O25" s="33" t="s">
        <v>71</v>
      </c>
      <c r="P25" s="29">
        <v>63</v>
      </c>
      <c r="Q25" s="33" t="s">
        <v>321</v>
      </c>
      <c r="R25" s="33" t="s">
        <v>324</v>
      </c>
      <c r="S25" s="33">
        <v>49</v>
      </c>
      <c r="T25" s="61" t="s">
        <v>106</v>
      </c>
      <c r="U25" s="29">
        <v>3.3</v>
      </c>
      <c r="V25" s="29">
        <v>1</v>
      </c>
      <c r="W25" s="29">
        <v>4.3</v>
      </c>
      <c r="X25" s="29" t="s">
        <v>114</v>
      </c>
      <c r="Y25" s="61"/>
      <c r="AA25" s="29">
        <f t="shared" si="1"/>
        <v>11</v>
      </c>
      <c r="AB25" s="29" t="s">
        <v>71</v>
      </c>
      <c r="AC25" s="29">
        <v>63</v>
      </c>
      <c r="AD25" s="33" t="s">
        <v>316</v>
      </c>
      <c r="AE25" s="33" t="s">
        <v>325</v>
      </c>
      <c r="AF25" s="33">
        <v>100.6</v>
      </c>
      <c r="AG25" s="29" t="s">
        <v>276</v>
      </c>
      <c r="AH25" s="29">
        <v>3.5</v>
      </c>
      <c r="AI25" s="29">
        <v>1</v>
      </c>
      <c r="AJ25" s="29">
        <v>4.5</v>
      </c>
      <c r="AK25" s="29" t="s">
        <v>114</v>
      </c>
      <c r="AL25" s="61"/>
      <c r="AN25" s="29">
        <f t="shared" si="2"/>
        <v>11</v>
      </c>
      <c r="AO25" s="29" t="s">
        <v>71</v>
      </c>
      <c r="AP25" s="29">
        <v>63</v>
      </c>
      <c r="AQ25" s="33" t="s">
        <v>326</v>
      </c>
      <c r="AR25" s="33" t="s">
        <v>327</v>
      </c>
      <c r="AS25" s="33">
        <v>28</v>
      </c>
      <c r="AT25" s="33" t="s">
        <v>106</v>
      </c>
      <c r="AU25" s="29">
        <v>3</v>
      </c>
      <c r="AV25" s="29">
        <v>1</v>
      </c>
      <c r="AW25" s="33">
        <v>4</v>
      </c>
      <c r="AX25" s="29" t="s">
        <v>114</v>
      </c>
      <c r="AY25" s="61"/>
      <c r="BA25" s="29">
        <f t="shared" si="3"/>
        <v>11</v>
      </c>
      <c r="BB25" s="29" t="s">
        <v>71</v>
      </c>
      <c r="BC25" s="29">
        <v>63</v>
      </c>
      <c r="BD25" s="29" t="s">
        <v>318</v>
      </c>
      <c r="BE25" s="29" t="s">
        <v>319</v>
      </c>
      <c r="BF25" s="29">
        <v>131.4</v>
      </c>
      <c r="BG25" s="33" t="s">
        <v>285</v>
      </c>
      <c r="BH25" s="29">
        <v>3.2</v>
      </c>
      <c r="BI25" s="29">
        <v>1</v>
      </c>
      <c r="BJ25" s="33">
        <v>4.2</v>
      </c>
      <c r="BK25" s="29" t="s">
        <v>114</v>
      </c>
      <c r="BL25" s="29"/>
      <c r="BN25" s="29">
        <f t="shared" si="4"/>
        <v>11</v>
      </c>
      <c r="BO25" s="29" t="s">
        <v>71</v>
      </c>
      <c r="BP25" s="29">
        <v>63</v>
      </c>
      <c r="BQ25" s="29" t="s">
        <v>287</v>
      </c>
      <c r="BR25" s="29" t="s">
        <v>305</v>
      </c>
      <c r="BS25" s="29">
        <v>71.599999999999994</v>
      </c>
      <c r="BT25" s="29" t="s">
        <v>276</v>
      </c>
      <c r="BU25" s="33">
        <v>3.5</v>
      </c>
      <c r="BV25" s="33">
        <v>1</v>
      </c>
      <c r="BW25" s="33">
        <v>4.5</v>
      </c>
      <c r="BX25" s="33" t="s">
        <v>114</v>
      </c>
      <c r="BY25" s="61"/>
    </row>
    <row r="26" spans="1:77">
      <c r="N26" s="33">
        <f t="shared" si="5"/>
        <v>12</v>
      </c>
      <c r="O26" s="33" t="s">
        <v>71</v>
      </c>
      <c r="P26" s="29">
        <v>63</v>
      </c>
      <c r="Q26" s="33" t="s">
        <v>321</v>
      </c>
      <c r="R26" s="33" t="s">
        <v>328</v>
      </c>
      <c r="S26" s="33">
        <v>168.3</v>
      </c>
      <c r="T26" s="61" t="s">
        <v>106</v>
      </c>
      <c r="U26" s="29">
        <v>3.3</v>
      </c>
      <c r="V26" s="29">
        <v>1</v>
      </c>
      <c r="W26" s="29">
        <v>4.3</v>
      </c>
      <c r="X26" s="29" t="s">
        <v>114</v>
      </c>
      <c r="Y26" s="61"/>
      <c r="AA26" s="29">
        <f t="shared" si="1"/>
        <v>12</v>
      </c>
      <c r="AB26" s="29" t="s">
        <v>71</v>
      </c>
      <c r="AC26" s="29">
        <v>63</v>
      </c>
      <c r="AD26" s="33" t="s">
        <v>329</v>
      </c>
      <c r="AE26" s="33" t="s">
        <v>330</v>
      </c>
      <c r="AF26" s="29">
        <v>112.2</v>
      </c>
      <c r="AG26" s="29" t="s">
        <v>276</v>
      </c>
      <c r="AH26" s="29">
        <v>3.5</v>
      </c>
      <c r="AI26" s="29">
        <v>1</v>
      </c>
      <c r="AJ26" s="29">
        <v>4.5</v>
      </c>
      <c r="AK26" s="29" t="s">
        <v>114</v>
      </c>
      <c r="AL26" s="61"/>
      <c r="AN26" s="29">
        <f t="shared" si="2"/>
        <v>12</v>
      </c>
      <c r="AO26" s="29" t="s">
        <v>71</v>
      </c>
      <c r="AP26" s="29">
        <v>63</v>
      </c>
      <c r="AQ26" s="33" t="s">
        <v>327</v>
      </c>
      <c r="AR26" s="29" t="s">
        <v>331</v>
      </c>
      <c r="AS26" s="29">
        <v>27.4</v>
      </c>
      <c r="AT26" s="33" t="s">
        <v>106</v>
      </c>
      <c r="AU26" s="29">
        <v>3</v>
      </c>
      <c r="AV26" s="29">
        <v>1</v>
      </c>
      <c r="AW26" s="33">
        <v>4</v>
      </c>
      <c r="AX26" s="29" t="s">
        <v>114</v>
      </c>
      <c r="AY26" s="61"/>
      <c r="BA26" s="29">
        <f t="shared" si="3"/>
        <v>12</v>
      </c>
      <c r="BB26" s="29" t="s">
        <v>71</v>
      </c>
      <c r="BC26" s="29">
        <v>110</v>
      </c>
      <c r="BD26" s="29" t="s">
        <v>318</v>
      </c>
      <c r="BE26" s="29" t="s">
        <v>168</v>
      </c>
      <c r="BF26" s="29">
        <v>67.7</v>
      </c>
      <c r="BG26" s="33" t="s">
        <v>285</v>
      </c>
      <c r="BH26" s="29">
        <v>3.2</v>
      </c>
      <c r="BI26" s="29">
        <v>1</v>
      </c>
      <c r="BJ26" s="33">
        <v>4.2</v>
      </c>
      <c r="BK26" s="29" t="s">
        <v>114</v>
      </c>
      <c r="BL26" s="29"/>
      <c r="BN26" s="29">
        <f t="shared" si="4"/>
        <v>12</v>
      </c>
      <c r="BO26" s="29" t="s">
        <v>71</v>
      </c>
      <c r="BP26" s="29">
        <v>63</v>
      </c>
      <c r="BQ26" s="29" t="s">
        <v>332</v>
      </c>
      <c r="BR26" s="29" t="s">
        <v>216</v>
      </c>
      <c r="BS26" s="29">
        <v>61.7</v>
      </c>
      <c r="BT26" s="29" t="s">
        <v>276</v>
      </c>
      <c r="BU26" s="33">
        <v>3.5</v>
      </c>
      <c r="BV26" s="33">
        <v>1</v>
      </c>
      <c r="BW26" s="33">
        <v>4.5</v>
      </c>
      <c r="BX26" s="33" t="s">
        <v>114</v>
      </c>
      <c r="BY26" s="61"/>
    </row>
    <row r="27" spans="1:77">
      <c r="N27" s="33">
        <f t="shared" si="5"/>
        <v>13</v>
      </c>
      <c r="O27" s="33" t="s">
        <v>71</v>
      </c>
      <c r="P27" s="29">
        <v>63</v>
      </c>
      <c r="Q27" s="33" t="s">
        <v>321</v>
      </c>
      <c r="R27" s="33" t="s">
        <v>328</v>
      </c>
      <c r="S27" s="33">
        <v>3.5</v>
      </c>
      <c r="T27" s="61" t="s">
        <v>106</v>
      </c>
      <c r="U27" s="29">
        <v>3.3</v>
      </c>
      <c r="V27" s="29">
        <v>1</v>
      </c>
      <c r="W27" s="29">
        <v>4.3</v>
      </c>
      <c r="X27" s="29" t="s">
        <v>114</v>
      </c>
      <c r="Y27" s="61"/>
      <c r="AA27" s="29">
        <f t="shared" si="1"/>
        <v>13</v>
      </c>
      <c r="AB27" s="29" t="s">
        <v>71</v>
      </c>
      <c r="AC27" s="29">
        <v>63</v>
      </c>
      <c r="AD27" s="33" t="s">
        <v>303</v>
      </c>
      <c r="AE27" s="33" t="s">
        <v>333</v>
      </c>
      <c r="AF27" s="29">
        <v>74.599999999999994</v>
      </c>
      <c r="AG27" s="29" t="s">
        <v>276</v>
      </c>
      <c r="AH27" s="29">
        <v>3.5</v>
      </c>
      <c r="AI27" s="29">
        <v>1</v>
      </c>
      <c r="AJ27" s="29">
        <v>4.5</v>
      </c>
      <c r="AK27" s="29" t="s">
        <v>114</v>
      </c>
      <c r="AL27" s="61"/>
      <c r="AN27" s="29">
        <f t="shared" si="2"/>
        <v>13</v>
      </c>
      <c r="AO27" s="29" t="s">
        <v>71</v>
      </c>
      <c r="AP27" s="29">
        <v>63</v>
      </c>
      <c r="AQ27" s="33" t="s">
        <v>327</v>
      </c>
      <c r="AR27" s="29" t="s">
        <v>331</v>
      </c>
      <c r="AS27" s="29">
        <v>33.700000000000003</v>
      </c>
      <c r="AT27" s="33" t="s">
        <v>106</v>
      </c>
      <c r="AU27" s="29">
        <v>3</v>
      </c>
      <c r="AV27" s="29">
        <v>1</v>
      </c>
      <c r="AW27" s="33">
        <v>4</v>
      </c>
      <c r="AX27" s="29" t="s">
        <v>114</v>
      </c>
      <c r="AY27" s="61"/>
      <c r="BA27" s="29">
        <f t="shared" si="3"/>
        <v>13</v>
      </c>
      <c r="BB27" s="29" t="s">
        <v>71</v>
      </c>
      <c r="BC27" s="29">
        <v>63</v>
      </c>
      <c r="BD27" s="29" t="s">
        <v>168</v>
      </c>
      <c r="BE27" s="29" t="s">
        <v>334</v>
      </c>
      <c r="BF27" s="29">
        <v>30.4</v>
      </c>
      <c r="BG27" s="33" t="s">
        <v>285</v>
      </c>
      <c r="BH27" s="29">
        <v>3.2</v>
      </c>
      <c r="BI27" s="29">
        <v>1</v>
      </c>
      <c r="BJ27" s="33">
        <v>4.2</v>
      </c>
      <c r="BK27" s="29" t="s">
        <v>114</v>
      </c>
      <c r="BL27" s="29"/>
      <c r="BN27" s="29">
        <f t="shared" si="4"/>
        <v>13</v>
      </c>
      <c r="BO27" s="29" t="s">
        <v>71</v>
      </c>
      <c r="BP27" s="29">
        <v>63</v>
      </c>
      <c r="BQ27" s="29" t="s">
        <v>83</v>
      </c>
      <c r="BR27" s="29" t="s">
        <v>335</v>
      </c>
      <c r="BS27" s="29">
        <v>55.3</v>
      </c>
      <c r="BT27" s="29" t="s">
        <v>276</v>
      </c>
      <c r="BU27" s="33">
        <v>3.5</v>
      </c>
      <c r="BV27" s="33">
        <v>1</v>
      </c>
      <c r="BW27" s="33">
        <v>4.5</v>
      </c>
      <c r="BX27" s="33" t="s">
        <v>114</v>
      </c>
      <c r="BY27" s="61"/>
    </row>
    <row r="28" spans="1:77">
      <c r="N28" s="33">
        <f t="shared" si="5"/>
        <v>14</v>
      </c>
      <c r="O28" s="33" t="s">
        <v>71</v>
      </c>
      <c r="P28" s="29">
        <v>63</v>
      </c>
      <c r="Q28" s="33" t="s">
        <v>328</v>
      </c>
      <c r="R28" s="33" t="s">
        <v>336</v>
      </c>
      <c r="S28" s="33">
        <v>40.5</v>
      </c>
      <c r="T28" s="61" t="s">
        <v>106</v>
      </c>
      <c r="U28" s="29">
        <v>3.3</v>
      </c>
      <c r="V28" s="29">
        <v>1</v>
      </c>
      <c r="W28" s="29">
        <v>4.3</v>
      </c>
      <c r="X28" s="29" t="s">
        <v>114</v>
      </c>
      <c r="Y28" s="61"/>
      <c r="AA28" s="29">
        <f t="shared" si="1"/>
        <v>14</v>
      </c>
      <c r="AB28" s="29" t="s">
        <v>71</v>
      </c>
      <c r="AC28" s="29">
        <v>63</v>
      </c>
      <c r="AD28" s="33" t="s">
        <v>333</v>
      </c>
      <c r="AE28" s="33" t="s">
        <v>337</v>
      </c>
      <c r="AF28" s="29">
        <v>51.1</v>
      </c>
      <c r="AG28" s="29" t="s">
        <v>276</v>
      </c>
      <c r="AH28" s="29">
        <v>3.5</v>
      </c>
      <c r="AI28" s="29">
        <v>1</v>
      </c>
      <c r="AJ28" s="29">
        <v>4.5</v>
      </c>
      <c r="AK28" s="29" t="s">
        <v>114</v>
      </c>
      <c r="AL28" s="61"/>
      <c r="AN28" s="29">
        <f t="shared" si="2"/>
        <v>14</v>
      </c>
      <c r="AO28" s="29" t="s">
        <v>71</v>
      </c>
      <c r="AP28" s="29">
        <v>63</v>
      </c>
      <c r="AQ28" s="29" t="s">
        <v>331</v>
      </c>
      <c r="AR28" s="29" t="s">
        <v>317</v>
      </c>
      <c r="AS28" s="29">
        <v>39</v>
      </c>
      <c r="AT28" s="33" t="s">
        <v>106</v>
      </c>
      <c r="AU28" s="29">
        <v>3</v>
      </c>
      <c r="AV28" s="29">
        <v>1</v>
      </c>
      <c r="AW28" s="33">
        <v>4</v>
      </c>
      <c r="AX28" s="29" t="s">
        <v>114</v>
      </c>
      <c r="AY28" s="61"/>
      <c r="BA28" s="29">
        <f t="shared" si="3"/>
        <v>14</v>
      </c>
      <c r="BB28" s="29" t="s">
        <v>71</v>
      </c>
      <c r="BC28" s="29">
        <v>110</v>
      </c>
      <c r="BD28" s="29" t="s">
        <v>168</v>
      </c>
      <c r="BE28" s="29" t="s">
        <v>175</v>
      </c>
      <c r="BF28" s="29">
        <v>519.20000000000005</v>
      </c>
      <c r="BG28" s="33" t="s">
        <v>285</v>
      </c>
      <c r="BH28" s="29">
        <v>3.2</v>
      </c>
      <c r="BI28" s="29">
        <v>1</v>
      </c>
      <c r="BJ28" s="33">
        <v>4.2</v>
      </c>
      <c r="BK28" s="29" t="s">
        <v>114</v>
      </c>
      <c r="BL28" s="29"/>
      <c r="BN28" s="29">
        <f t="shared" si="4"/>
        <v>14</v>
      </c>
      <c r="BO28" s="29" t="s">
        <v>71</v>
      </c>
      <c r="BP28" s="29">
        <v>63</v>
      </c>
      <c r="BQ28" s="29" t="s">
        <v>219</v>
      </c>
      <c r="BR28" s="29" t="s">
        <v>338</v>
      </c>
      <c r="BS28" s="29">
        <v>38.700000000000003</v>
      </c>
      <c r="BT28" s="29" t="s">
        <v>276</v>
      </c>
      <c r="BU28" s="33">
        <v>3.5</v>
      </c>
      <c r="BV28" s="33">
        <v>1</v>
      </c>
      <c r="BW28" s="33">
        <v>4.5</v>
      </c>
      <c r="BX28" s="33" t="s">
        <v>114</v>
      </c>
      <c r="BY28" s="61"/>
    </row>
    <row r="29" spans="1:77">
      <c r="N29" s="33">
        <f t="shared" si="5"/>
        <v>15</v>
      </c>
      <c r="O29" s="33" t="s">
        <v>71</v>
      </c>
      <c r="P29" s="29">
        <v>63</v>
      </c>
      <c r="Q29" s="33" t="s">
        <v>328</v>
      </c>
      <c r="R29" s="33" t="s">
        <v>339</v>
      </c>
      <c r="S29" s="33">
        <v>46.4</v>
      </c>
      <c r="T29" s="61" t="s">
        <v>106</v>
      </c>
      <c r="U29" s="29">
        <v>3.3</v>
      </c>
      <c r="V29" s="29">
        <v>1</v>
      </c>
      <c r="W29" s="29">
        <v>4.3</v>
      </c>
      <c r="X29" s="29" t="s">
        <v>114</v>
      </c>
      <c r="Y29" s="61"/>
      <c r="AA29" s="29">
        <f t="shared" si="1"/>
        <v>15</v>
      </c>
      <c r="AB29" s="29" t="s">
        <v>71</v>
      </c>
      <c r="AC29" s="29">
        <v>63</v>
      </c>
      <c r="AD29" s="29" t="s">
        <v>292</v>
      </c>
      <c r="AE29" s="29" t="s">
        <v>340</v>
      </c>
      <c r="AF29" s="33">
        <v>170.9</v>
      </c>
      <c r="AG29" s="29" t="s">
        <v>276</v>
      </c>
      <c r="AH29" s="29">
        <v>3.5</v>
      </c>
      <c r="AI29" s="29">
        <v>1</v>
      </c>
      <c r="AJ29" s="29">
        <v>4.5</v>
      </c>
      <c r="AK29" s="29" t="s">
        <v>114</v>
      </c>
      <c r="AL29" s="61"/>
      <c r="AN29" s="29">
        <f t="shared" si="2"/>
        <v>15</v>
      </c>
      <c r="AO29" s="29" t="s">
        <v>71</v>
      </c>
      <c r="AP29" s="29">
        <v>63</v>
      </c>
      <c r="AQ29" s="29" t="s">
        <v>331</v>
      </c>
      <c r="AR29" s="29" t="s">
        <v>341</v>
      </c>
      <c r="AS29" s="29">
        <v>86</v>
      </c>
      <c r="AT29" s="33" t="s">
        <v>106</v>
      </c>
      <c r="AU29" s="29">
        <v>3</v>
      </c>
      <c r="AV29" s="29">
        <v>1</v>
      </c>
      <c r="AW29" s="33">
        <v>4</v>
      </c>
      <c r="AX29" s="29" t="s">
        <v>114</v>
      </c>
      <c r="AY29" s="61"/>
      <c r="BA29" s="29">
        <f t="shared" si="3"/>
        <v>15</v>
      </c>
      <c r="BB29" s="29" t="s">
        <v>71</v>
      </c>
      <c r="BC29" s="29">
        <v>63</v>
      </c>
      <c r="BD29" s="29" t="s">
        <v>175</v>
      </c>
      <c r="BE29" s="29" t="s">
        <v>342</v>
      </c>
      <c r="BF29" s="29">
        <v>38.200000000000003</v>
      </c>
      <c r="BG29" s="33" t="s">
        <v>285</v>
      </c>
      <c r="BH29" s="29">
        <v>3.2</v>
      </c>
      <c r="BI29" s="29">
        <v>1</v>
      </c>
      <c r="BJ29" s="33">
        <v>4.2</v>
      </c>
      <c r="BK29" s="29" t="s">
        <v>114</v>
      </c>
      <c r="BL29" s="29"/>
      <c r="BN29" s="29">
        <f t="shared" si="4"/>
        <v>15</v>
      </c>
      <c r="BO29" s="29" t="s">
        <v>71</v>
      </c>
      <c r="BP29" s="29">
        <v>63</v>
      </c>
      <c r="BQ29" s="29" t="s">
        <v>343</v>
      </c>
      <c r="BR29" s="29" t="s">
        <v>344</v>
      </c>
      <c r="BS29" s="29">
        <v>275</v>
      </c>
      <c r="BT29" s="29" t="s">
        <v>276</v>
      </c>
      <c r="BU29" s="33">
        <v>3.5</v>
      </c>
      <c r="BV29" s="33">
        <v>1</v>
      </c>
      <c r="BW29" s="33">
        <v>4.5</v>
      </c>
      <c r="BX29" s="33" t="s">
        <v>114</v>
      </c>
      <c r="BY29" s="61"/>
    </row>
    <row r="30" spans="1:77">
      <c r="N30" s="33">
        <f t="shared" si="5"/>
        <v>16</v>
      </c>
      <c r="O30" s="33" t="s">
        <v>71</v>
      </c>
      <c r="P30" s="29">
        <v>63</v>
      </c>
      <c r="Q30" s="33" t="s">
        <v>339</v>
      </c>
      <c r="R30" s="33" t="s">
        <v>315</v>
      </c>
      <c r="S30" s="33">
        <v>68</v>
      </c>
      <c r="T30" s="61" t="s">
        <v>106</v>
      </c>
      <c r="U30" s="29">
        <v>3.3</v>
      </c>
      <c r="V30" s="29">
        <v>1</v>
      </c>
      <c r="W30" s="29">
        <v>4.3</v>
      </c>
      <c r="X30" s="29" t="s">
        <v>114</v>
      </c>
      <c r="Y30" s="61"/>
      <c r="AA30" s="29">
        <f t="shared" si="1"/>
        <v>16</v>
      </c>
      <c r="AB30" s="29" t="s">
        <v>71</v>
      </c>
      <c r="AC30" s="29">
        <v>63</v>
      </c>
      <c r="AD30" s="29" t="s">
        <v>340</v>
      </c>
      <c r="AE30" s="29" t="s">
        <v>315</v>
      </c>
      <c r="AF30" s="33">
        <v>123</v>
      </c>
      <c r="AG30" s="29" t="s">
        <v>276</v>
      </c>
      <c r="AH30" s="29">
        <v>3.5</v>
      </c>
      <c r="AI30" s="29">
        <v>1</v>
      </c>
      <c r="AJ30" s="29">
        <v>4.5</v>
      </c>
      <c r="AK30" s="29" t="s">
        <v>114</v>
      </c>
      <c r="AL30" s="61"/>
      <c r="AN30" s="29">
        <f t="shared" si="2"/>
        <v>16</v>
      </c>
      <c r="AO30" s="29" t="s">
        <v>71</v>
      </c>
      <c r="AP30" s="29">
        <v>63</v>
      </c>
      <c r="AQ30" s="33" t="s">
        <v>341</v>
      </c>
      <c r="AR30" s="33" t="s">
        <v>345</v>
      </c>
      <c r="AS30" s="29">
        <v>56.8</v>
      </c>
      <c r="AT30" s="33" t="s">
        <v>106</v>
      </c>
      <c r="AU30" s="29">
        <v>3</v>
      </c>
      <c r="AV30" s="29">
        <v>1</v>
      </c>
      <c r="AW30" s="33">
        <v>4</v>
      </c>
      <c r="AX30" s="29" t="s">
        <v>114</v>
      </c>
      <c r="AY30" s="61"/>
      <c r="BA30" s="29">
        <f t="shared" si="3"/>
        <v>16</v>
      </c>
      <c r="BB30" s="29" t="s">
        <v>71</v>
      </c>
      <c r="BC30" s="29">
        <v>63</v>
      </c>
      <c r="BD30" s="29" t="s">
        <v>342</v>
      </c>
      <c r="BE30" s="29" t="s">
        <v>227</v>
      </c>
      <c r="BF30" s="29">
        <v>82.5</v>
      </c>
      <c r="BG30" s="33" t="s">
        <v>285</v>
      </c>
      <c r="BH30" s="29">
        <v>3.2</v>
      </c>
      <c r="BI30" s="29">
        <v>1</v>
      </c>
      <c r="BJ30" s="33">
        <v>4.2</v>
      </c>
      <c r="BK30" s="29" t="s">
        <v>114</v>
      </c>
      <c r="BL30" s="29"/>
      <c r="BN30" s="238"/>
      <c r="BO30" s="222"/>
      <c r="BP30" s="239" t="s">
        <v>86</v>
      </c>
      <c r="BQ30" s="240"/>
      <c r="BR30" s="240"/>
      <c r="BS30" s="241"/>
      <c r="BT30" s="239" t="s">
        <v>87</v>
      </c>
      <c r="BU30" s="240"/>
      <c r="BV30" s="241"/>
      <c r="BW30" s="239" t="s">
        <v>39</v>
      </c>
      <c r="BX30" s="240"/>
      <c r="BY30" s="242"/>
    </row>
    <row r="31" spans="1:77">
      <c r="N31" s="33">
        <f t="shared" si="5"/>
        <v>17</v>
      </c>
      <c r="O31" s="33" t="s">
        <v>71</v>
      </c>
      <c r="P31" s="29">
        <v>63</v>
      </c>
      <c r="Q31" s="33" t="s">
        <v>339</v>
      </c>
      <c r="R31" s="33" t="s">
        <v>315</v>
      </c>
      <c r="S31" s="33">
        <v>3.5</v>
      </c>
      <c r="T31" s="61" t="s">
        <v>106</v>
      </c>
      <c r="U31" s="29">
        <v>3.3</v>
      </c>
      <c r="V31" s="29">
        <v>1</v>
      </c>
      <c r="W31" s="29">
        <v>4.3</v>
      </c>
      <c r="X31" s="29" t="s">
        <v>114</v>
      </c>
      <c r="Y31" s="61"/>
      <c r="AA31" s="29">
        <f t="shared" si="1"/>
        <v>17</v>
      </c>
      <c r="AB31" s="29" t="s">
        <v>71</v>
      </c>
      <c r="AC31" s="29">
        <v>63</v>
      </c>
      <c r="AD31" s="29" t="s">
        <v>346</v>
      </c>
      <c r="AE31" s="29" t="s">
        <v>347</v>
      </c>
      <c r="AF31" s="29">
        <v>81</v>
      </c>
      <c r="AG31" s="29" t="s">
        <v>276</v>
      </c>
      <c r="AH31" s="29">
        <v>3.5</v>
      </c>
      <c r="AI31" s="29">
        <v>1</v>
      </c>
      <c r="AJ31" s="29">
        <v>4.5</v>
      </c>
      <c r="AK31" s="29" t="s">
        <v>114</v>
      </c>
      <c r="AL31" s="61"/>
      <c r="AN31" s="29">
        <f t="shared" si="2"/>
        <v>17</v>
      </c>
      <c r="AO31" s="29" t="s">
        <v>71</v>
      </c>
      <c r="AP31" s="29">
        <v>63</v>
      </c>
      <c r="AQ31" s="33" t="s">
        <v>341</v>
      </c>
      <c r="AR31" s="33" t="s">
        <v>345</v>
      </c>
      <c r="AS31" s="29">
        <v>18.2</v>
      </c>
      <c r="AT31" s="33" t="s">
        <v>106</v>
      </c>
      <c r="AU31" s="29">
        <v>3</v>
      </c>
      <c r="AV31" s="29">
        <v>1</v>
      </c>
      <c r="AW31" s="33">
        <v>4</v>
      </c>
      <c r="AX31" s="29" t="s">
        <v>114</v>
      </c>
      <c r="AY31" s="61"/>
      <c r="BA31" s="29">
        <f t="shared" si="3"/>
        <v>17</v>
      </c>
      <c r="BB31" s="29" t="s">
        <v>71</v>
      </c>
      <c r="BC31" s="29">
        <v>63</v>
      </c>
      <c r="BD31" s="29" t="s">
        <v>227</v>
      </c>
      <c r="BE31" s="29" t="s">
        <v>247</v>
      </c>
      <c r="BF31" s="29">
        <v>56.8</v>
      </c>
      <c r="BG31" s="33" t="s">
        <v>285</v>
      </c>
      <c r="BH31" s="29">
        <v>3.2</v>
      </c>
      <c r="BI31" s="29">
        <v>1</v>
      </c>
      <c r="BJ31" s="33">
        <v>4.2</v>
      </c>
      <c r="BK31" s="29" t="s">
        <v>114</v>
      </c>
      <c r="BL31" s="29"/>
      <c r="BN31" s="230" t="s">
        <v>40</v>
      </c>
      <c r="BO31" s="189"/>
      <c r="BP31" s="234"/>
      <c r="BQ31" s="235"/>
      <c r="BR31" s="235"/>
      <c r="BS31" s="236"/>
      <c r="BT31" s="234"/>
      <c r="BU31" s="235"/>
      <c r="BV31" s="236"/>
      <c r="BW31" s="234"/>
      <c r="BX31" s="235"/>
      <c r="BY31" s="237"/>
    </row>
    <row r="32" spans="1:77">
      <c r="N32" s="33">
        <f t="shared" si="5"/>
        <v>18</v>
      </c>
      <c r="O32" s="33" t="s">
        <v>71</v>
      </c>
      <c r="P32" s="29">
        <v>63</v>
      </c>
      <c r="Q32" s="33" t="s">
        <v>339</v>
      </c>
      <c r="R32" s="33" t="s">
        <v>348</v>
      </c>
      <c r="S32" s="33">
        <v>104.2</v>
      </c>
      <c r="T32" s="61" t="s">
        <v>106</v>
      </c>
      <c r="U32" s="29">
        <v>3.3</v>
      </c>
      <c r="V32" s="29">
        <v>1</v>
      </c>
      <c r="W32" s="29">
        <v>4.3</v>
      </c>
      <c r="X32" s="29" t="s">
        <v>114</v>
      </c>
      <c r="Y32" s="61"/>
      <c r="AA32" s="29">
        <f t="shared" si="1"/>
        <v>18</v>
      </c>
      <c r="AB32" s="29" t="s">
        <v>71</v>
      </c>
      <c r="AC32" s="29">
        <v>63</v>
      </c>
      <c r="AD32" s="29" t="s">
        <v>347</v>
      </c>
      <c r="AE32" s="29" t="s">
        <v>349</v>
      </c>
      <c r="AF32" s="29">
        <v>177</v>
      </c>
      <c r="AG32" s="29" t="s">
        <v>276</v>
      </c>
      <c r="AH32" s="29">
        <v>3.5</v>
      </c>
      <c r="AI32" s="29">
        <v>1</v>
      </c>
      <c r="AJ32" s="29">
        <v>4.5</v>
      </c>
      <c r="AK32" s="29" t="s">
        <v>114</v>
      </c>
      <c r="AL32" s="61"/>
      <c r="AN32" s="29">
        <f t="shared" si="2"/>
        <v>18</v>
      </c>
      <c r="AO32" s="29" t="s">
        <v>71</v>
      </c>
      <c r="AP32" s="29">
        <v>63</v>
      </c>
      <c r="AQ32" s="33" t="s">
        <v>341</v>
      </c>
      <c r="AR32" s="33" t="s">
        <v>291</v>
      </c>
      <c r="AS32" s="29">
        <v>61.2</v>
      </c>
      <c r="AT32" s="33" t="s">
        <v>106</v>
      </c>
      <c r="AU32" s="29">
        <v>3</v>
      </c>
      <c r="AV32" s="29">
        <v>1</v>
      </c>
      <c r="AW32" s="33">
        <v>4</v>
      </c>
      <c r="AX32" s="29" t="s">
        <v>114</v>
      </c>
      <c r="AY32" s="61"/>
      <c r="BA32" s="29">
        <f t="shared" si="3"/>
        <v>18</v>
      </c>
      <c r="BB32" s="29" t="s">
        <v>71</v>
      </c>
      <c r="BC32" s="29">
        <v>63</v>
      </c>
      <c r="BD32" s="29" t="s">
        <v>227</v>
      </c>
      <c r="BE32" s="29" t="s">
        <v>350</v>
      </c>
      <c r="BF32" s="29">
        <v>87.2</v>
      </c>
      <c r="BG32" s="33" t="s">
        <v>285</v>
      </c>
      <c r="BH32" s="29">
        <v>3.2</v>
      </c>
      <c r="BI32" s="29">
        <v>1</v>
      </c>
      <c r="BJ32" s="33">
        <v>4.2</v>
      </c>
      <c r="BK32" s="29" t="s">
        <v>114</v>
      </c>
      <c r="BL32" s="29"/>
      <c r="BN32" s="230" t="s">
        <v>42</v>
      </c>
      <c r="BO32" s="189"/>
      <c r="BP32" s="234"/>
      <c r="BQ32" s="235"/>
      <c r="BR32" s="235"/>
      <c r="BS32" s="236"/>
      <c r="BT32" s="234"/>
      <c r="BU32" s="235"/>
      <c r="BV32" s="236"/>
      <c r="BW32" s="234"/>
      <c r="BX32" s="235"/>
      <c r="BY32" s="237"/>
    </row>
    <row r="33" spans="14:64">
      <c r="N33" s="33">
        <f t="shared" si="5"/>
        <v>19</v>
      </c>
      <c r="O33" s="33" t="s">
        <v>71</v>
      </c>
      <c r="P33" s="29">
        <v>63</v>
      </c>
      <c r="Q33" s="33" t="s">
        <v>302</v>
      </c>
      <c r="R33" s="33" t="s">
        <v>351</v>
      </c>
      <c r="S33" s="33">
        <v>72.7</v>
      </c>
      <c r="T33" s="61" t="s">
        <v>106</v>
      </c>
      <c r="U33" s="29">
        <v>3.3</v>
      </c>
      <c r="V33" s="29">
        <v>1</v>
      </c>
      <c r="W33" s="29">
        <v>4.3</v>
      </c>
      <c r="X33" s="29" t="s">
        <v>114</v>
      </c>
      <c r="Y33" s="61"/>
      <c r="AA33" s="29">
        <f t="shared" si="1"/>
        <v>19</v>
      </c>
      <c r="AB33" s="29" t="s">
        <v>71</v>
      </c>
      <c r="AC33" s="29">
        <v>63</v>
      </c>
      <c r="AD33" s="33" t="s">
        <v>340</v>
      </c>
      <c r="AE33" s="33" t="s">
        <v>352</v>
      </c>
      <c r="AF33" s="29">
        <v>71.7</v>
      </c>
      <c r="AG33" s="29" t="s">
        <v>276</v>
      </c>
      <c r="AH33" s="29">
        <v>3.5</v>
      </c>
      <c r="AI33" s="29">
        <v>1</v>
      </c>
      <c r="AJ33" s="29">
        <v>4.5</v>
      </c>
      <c r="AK33" s="29" t="s">
        <v>114</v>
      </c>
      <c r="AL33" s="61"/>
      <c r="AN33" s="29">
        <f t="shared" si="2"/>
        <v>19</v>
      </c>
      <c r="AO33" s="29" t="s">
        <v>71</v>
      </c>
      <c r="AP33" s="29">
        <v>63</v>
      </c>
      <c r="AQ33" s="33" t="s">
        <v>288</v>
      </c>
      <c r="AR33" s="29" t="s">
        <v>353</v>
      </c>
      <c r="AS33" s="29">
        <v>38.9</v>
      </c>
      <c r="AT33" s="33" t="s">
        <v>106</v>
      </c>
      <c r="AU33" s="29">
        <v>3</v>
      </c>
      <c r="AV33" s="29">
        <v>1</v>
      </c>
      <c r="AW33" s="33">
        <v>4</v>
      </c>
      <c r="AX33" s="29" t="s">
        <v>114</v>
      </c>
      <c r="AY33" s="61"/>
      <c r="BA33" s="29">
        <f t="shared" si="3"/>
        <v>19</v>
      </c>
      <c r="BB33" s="29" t="s">
        <v>71</v>
      </c>
      <c r="BC33" s="29">
        <v>63</v>
      </c>
      <c r="BD33" s="29" t="s">
        <v>350</v>
      </c>
      <c r="BE33" s="29" t="s">
        <v>354</v>
      </c>
      <c r="BF33" s="29">
        <v>14.2</v>
      </c>
      <c r="BG33" s="33" t="s">
        <v>285</v>
      </c>
      <c r="BH33" s="29">
        <v>3.2</v>
      </c>
      <c r="BI33" s="29">
        <v>1</v>
      </c>
      <c r="BJ33" s="33">
        <v>4.2</v>
      </c>
      <c r="BK33" s="29" t="s">
        <v>114</v>
      </c>
      <c r="BL33" s="29"/>
    </row>
    <row r="34" spans="14:64">
      <c r="N34" s="33">
        <f t="shared" si="5"/>
        <v>20</v>
      </c>
      <c r="O34" s="33" t="s">
        <v>71</v>
      </c>
      <c r="P34" s="29">
        <v>63</v>
      </c>
      <c r="Q34" s="33" t="s">
        <v>302</v>
      </c>
      <c r="R34" s="33" t="s">
        <v>351</v>
      </c>
      <c r="S34" s="33">
        <v>26.6</v>
      </c>
      <c r="T34" s="61" t="s">
        <v>106</v>
      </c>
      <c r="U34" s="29">
        <v>3.3</v>
      </c>
      <c r="V34" s="29">
        <v>1</v>
      </c>
      <c r="W34" s="29">
        <v>4.3</v>
      </c>
      <c r="X34" s="29" t="s">
        <v>114</v>
      </c>
      <c r="Y34" s="61"/>
      <c r="AA34" s="29">
        <f t="shared" si="1"/>
        <v>20</v>
      </c>
      <c r="AB34" s="29" t="s">
        <v>71</v>
      </c>
      <c r="AC34" s="29">
        <v>63</v>
      </c>
      <c r="AD34" s="33" t="s">
        <v>352</v>
      </c>
      <c r="AE34" s="33" t="s">
        <v>355</v>
      </c>
      <c r="AF34" s="29">
        <v>126.5</v>
      </c>
      <c r="AG34" s="29" t="s">
        <v>276</v>
      </c>
      <c r="AH34" s="29">
        <v>3.5</v>
      </c>
      <c r="AI34" s="29">
        <v>1</v>
      </c>
      <c r="AJ34" s="29">
        <v>4.5</v>
      </c>
      <c r="AK34" s="29" t="s">
        <v>114</v>
      </c>
      <c r="AL34" s="61"/>
      <c r="AN34" s="29">
        <f t="shared" si="2"/>
        <v>20</v>
      </c>
      <c r="AO34" s="29" t="s">
        <v>71</v>
      </c>
      <c r="AP34" s="29">
        <v>63</v>
      </c>
      <c r="AQ34" s="29" t="s">
        <v>353</v>
      </c>
      <c r="AR34" s="29" t="s">
        <v>356</v>
      </c>
      <c r="AS34" s="29">
        <v>90</v>
      </c>
      <c r="AT34" s="33" t="s">
        <v>106</v>
      </c>
      <c r="AU34" s="29">
        <v>3</v>
      </c>
      <c r="AV34" s="29">
        <v>1</v>
      </c>
      <c r="AW34" s="33">
        <v>4</v>
      </c>
      <c r="AX34" s="29" t="s">
        <v>114</v>
      </c>
      <c r="AY34" s="61"/>
      <c r="BA34" s="29">
        <f t="shared" si="3"/>
        <v>20</v>
      </c>
      <c r="BB34" s="29" t="s">
        <v>71</v>
      </c>
      <c r="BC34" s="29">
        <v>63</v>
      </c>
      <c r="BD34" s="29" t="s">
        <v>350</v>
      </c>
      <c r="BE34" s="29" t="s">
        <v>198</v>
      </c>
      <c r="BF34" s="29">
        <v>27</v>
      </c>
      <c r="BG34" s="33" t="s">
        <v>285</v>
      </c>
      <c r="BH34" s="29">
        <v>3.2</v>
      </c>
      <c r="BI34" s="29">
        <v>1</v>
      </c>
      <c r="BJ34" s="33">
        <v>4.2</v>
      </c>
      <c r="BK34" s="29" t="s">
        <v>114</v>
      </c>
      <c r="BL34" s="29"/>
    </row>
    <row r="35" spans="14:64">
      <c r="N35" s="33">
        <f t="shared" si="5"/>
        <v>21</v>
      </c>
      <c r="O35" s="33" t="s">
        <v>71</v>
      </c>
      <c r="P35" s="29">
        <v>63</v>
      </c>
      <c r="Q35" s="33" t="s">
        <v>349</v>
      </c>
      <c r="R35" s="33" t="s">
        <v>271</v>
      </c>
      <c r="S35" s="33">
        <v>86</v>
      </c>
      <c r="T35" s="61" t="s">
        <v>106</v>
      </c>
      <c r="U35" s="29">
        <v>3.3</v>
      </c>
      <c r="V35" s="29">
        <v>1</v>
      </c>
      <c r="W35" s="29">
        <v>4.3</v>
      </c>
      <c r="X35" s="29" t="s">
        <v>114</v>
      </c>
      <c r="Y35" s="61"/>
      <c r="AA35" s="29">
        <f t="shared" si="1"/>
        <v>21</v>
      </c>
      <c r="AB35" s="29" t="s">
        <v>71</v>
      </c>
      <c r="AC35" s="29">
        <v>63</v>
      </c>
      <c r="AD35" s="33" t="s">
        <v>352</v>
      </c>
      <c r="AE35" s="33" t="s">
        <v>323</v>
      </c>
      <c r="AF35" s="33">
        <v>269.39999999999998</v>
      </c>
      <c r="AG35" s="29" t="s">
        <v>276</v>
      </c>
      <c r="AH35" s="29">
        <v>3.5</v>
      </c>
      <c r="AI35" s="29">
        <v>1</v>
      </c>
      <c r="AJ35" s="29">
        <v>4.5</v>
      </c>
      <c r="AK35" s="29" t="s">
        <v>114</v>
      </c>
      <c r="AL35" s="61"/>
      <c r="AN35" s="29">
        <f t="shared" si="2"/>
        <v>21</v>
      </c>
      <c r="AO35" s="29" t="s">
        <v>71</v>
      </c>
      <c r="AP35" s="29">
        <v>63</v>
      </c>
      <c r="AQ35" s="29" t="s">
        <v>353</v>
      </c>
      <c r="AR35" s="29" t="s">
        <v>356</v>
      </c>
      <c r="AS35" s="29">
        <v>8.1999999999999993</v>
      </c>
      <c r="AT35" s="33" t="s">
        <v>106</v>
      </c>
      <c r="AU35" s="29">
        <v>3</v>
      </c>
      <c r="AV35" s="29">
        <v>1</v>
      </c>
      <c r="AW35" s="33">
        <v>4</v>
      </c>
      <c r="AX35" s="29" t="s">
        <v>114</v>
      </c>
      <c r="AY35" s="61"/>
      <c r="BA35" s="29">
        <f t="shared" si="3"/>
        <v>21</v>
      </c>
      <c r="BB35" s="29" t="s">
        <v>71</v>
      </c>
      <c r="BC35" s="29">
        <v>63</v>
      </c>
      <c r="BD35" s="29" t="s">
        <v>335</v>
      </c>
      <c r="BE35" s="29" t="s">
        <v>357</v>
      </c>
      <c r="BF35" s="29">
        <v>3</v>
      </c>
      <c r="BG35" s="33" t="s">
        <v>285</v>
      </c>
      <c r="BH35" s="29">
        <v>3.2</v>
      </c>
      <c r="BI35" s="29">
        <v>1</v>
      </c>
      <c r="BJ35" s="33">
        <v>4.2</v>
      </c>
      <c r="BK35" s="29" t="s">
        <v>114</v>
      </c>
      <c r="BL35" s="29"/>
    </row>
    <row r="36" spans="14:64">
      <c r="N36" s="33">
        <f t="shared" si="5"/>
        <v>22</v>
      </c>
      <c r="O36" s="33" t="s">
        <v>71</v>
      </c>
      <c r="P36" s="29">
        <v>63</v>
      </c>
      <c r="Q36" s="33" t="s">
        <v>349</v>
      </c>
      <c r="R36" s="33" t="s">
        <v>271</v>
      </c>
      <c r="S36" s="33">
        <v>3.5</v>
      </c>
      <c r="T36" s="61" t="s">
        <v>106</v>
      </c>
      <c r="U36" s="29">
        <v>3.3</v>
      </c>
      <c r="V36" s="29">
        <v>1</v>
      </c>
      <c r="W36" s="29">
        <v>4.3</v>
      </c>
      <c r="X36" s="29" t="s">
        <v>114</v>
      </c>
      <c r="Y36" s="61"/>
      <c r="AA36" s="29">
        <f t="shared" si="1"/>
        <v>22</v>
      </c>
      <c r="AB36" s="29" t="s">
        <v>71</v>
      </c>
      <c r="AC36" s="29">
        <v>63</v>
      </c>
      <c r="AD36" s="33" t="s">
        <v>347</v>
      </c>
      <c r="AE36" s="33" t="s">
        <v>358</v>
      </c>
      <c r="AF36" s="33">
        <v>90</v>
      </c>
      <c r="AG36" s="29" t="s">
        <v>276</v>
      </c>
      <c r="AH36" s="29">
        <v>3.5</v>
      </c>
      <c r="AI36" s="29">
        <v>1</v>
      </c>
      <c r="AJ36" s="29">
        <v>4.5</v>
      </c>
      <c r="AK36" s="29" t="s">
        <v>114</v>
      </c>
      <c r="AL36" s="61"/>
      <c r="AN36" s="29">
        <f t="shared" si="2"/>
        <v>22</v>
      </c>
      <c r="AO36" s="29" t="s">
        <v>71</v>
      </c>
      <c r="AP36" s="29">
        <v>63</v>
      </c>
      <c r="AQ36" s="29" t="s">
        <v>356</v>
      </c>
      <c r="AR36" s="29" t="s">
        <v>327</v>
      </c>
      <c r="AS36" s="29">
        <v>21.6</v>
      </c>
      <c r="AT36" s="33" t="s">
        <v>106</v>
      </c>
      <c r="AU36" s="29">
        <v>3</v>
      </c>
      <c r="AV36" s="29">
        <v>1</v>
      </c>
      <c r="AW36" s="33">
        <v>4</v>
      </c>
      <c r="AX36" s="29" t="s">
        <v>114</v>
      </c>
      <c r="AY36" s="61"/>
      <c r="BA36" s="29">
        <f t="shared" si="3"/>
        <v>22</v>
      </c>
      <c r="BB36" s="29" t="s">
        <v>71</v>
      </c>
      <c r="BC36" s="29">
        <v>63</v>
      </c>
      <c r="BD36" s="29" t="s">
        <v>335</v>
      </c>
      <c r="BE36" s="29" t="s">
        <v>357</v>
      </c>
      <c r="BF36" s="29">
        <v>22</v>
      </c>
      <c r="BG36" s="33" t="s">
        <v>285</v>
      </c>
      <c r="BH36" s="29">
        <v>3.2</v>
      </c>
      <c r="BI36" s="29">
        <v>1</v>
      </c>
      <c r="BJ36" s="33">
        <v>4.2</v>
      </c>
      <c r="BK36" s="29" t="s">
        <v>114</v>
      </c>
      <c r="BL36" s="29"/>
    </row>
    <row r="37" spans="14:64">
      <c r="N37" s="33">
        <f t="shared" si="5"/>
        <v>23</v>
      </c>
      <c r="O37" s="33" t="s">
        <v>71</v>
      </c>
      <c r="P37" s="29">
        <v>63</v>
      </c>
      <c r="Q37" s="33" t="s">
        <v>271</v>
      </c>
      <c r="R37" s="33" t="s">
        <v>359</v>
      </c>
      <c r="S37" s="33">
        <v>335</v>
      </c>
      <c r="T37" s="61" t="s">
        <v>106</v>
      </c>
      <c r="U37" s="29">
        <v>3.3</v>
      </c>
      <c r="V37" s="29">
        <v>1</v>
      </c>
      <c r="W37" s="29">
        <v>4.3</v>
      </c>
      <c r="X37" s="29" t="s">
        <v>114</v>
      </c>
      <c r="Y37" s="61"/>
      <c r="AA37" s="29">
        <f t="shared" si="1"/>
        <v>23</v>
      </c>
      <c r="AB37" s="29" t="s">
        <v>71</v>
      </c>
      <c r="AC37" s="29">
        <v>63</v>
      </c>
      <c r="AD37" s="33" t="s">
        <v>346</v>
      </c>
      <c r="AE37" s="33" t="s">
        <v>360</v>
      </c>
      <c r="AF37" s="33">
        <v>72.099999999999994</v>
      </c>
      <c r="AG37" s="29" t="s">
        <v>276</v>
      </c>
      <c r="AH37" s="29">
        <v>3.5</v>
      </c>
      <c r="AI37" s="29">
        <v>1</v>
      </c>
      <c r="AJ37" s="29">
        <v>4.5</v>
      </c>
      <c r="AK37" s="29" t="s">
        <v>114</v>
      </c>
      <c r="AL37" s="61"/>
      <c r="AN37" s="29">
        <f t="shared" si="2"/>
        <v>23</v>
      </c>
      <c r="AO37" s="29" t="s">
        <v>71</v>
      </c>
      <c r="AP37" s="29">
        <v>63</v>
      </c>
      <c r="AQ37" s="29" t="s">
        <v>353</v>
      </c>
      <c r="AR37" s="33" t="s">
        <v>361</v>
      </c>
      <c r="AS37" s="29">
        <v>102.6</v>
      </c>
      <c r="AT37" s="33" t="s">
        <v>106</v>
      </c>
      <c r="AU37" s="29">
        <v>3</v>
      </c>
      <c r="AV37" s="29">
        <v>1</v>
      </c>
      <c r="AW37" s="33">
        <v>4</v>
      </c>
      <c r="AX37" s="29" t="s">
        <v>114</v>
      </c>
      <c r="AY37" s="61"/>
      <c r="BA37" s="29">
        <f t="shared" si="3"/>
        <v>23</v>
      </c>
      <c r="BB37" s="29" t="s">
        <v>71</v>
      </c>
      <c r="BC37" s="29">
        <v>63</v>
      </c>
      <c r="BD37" s="29" t="s">
        <v>335</v>
      </c>
      <c r="BE37" s="29" t="s">
        <v>362</v>
      </c>
      <c r="BF37" s="29">
        <v>3.3</v>
      </c>
      <c r="BG37" s="33" t="s">
        <v>285</v>
      </c>
      <c r="BH37" s="29">
        <v>3.2</v>
      </c>
      <c r="BI37" s="29">
        <v>1</v>
      </c>
      <c r="BJ37" s="33">
        <v>4.2</v>
      </c>
      <c r="BK37" s="29" t="s">
        <v>114</v>
      </c>
      <c r="BL37" s="29"/>
    </row>
    <row r="38" spans="14:64">
      <c r="N38" s="33">
        <f t="shared" si="5"/>
        <v>24</v>
      </c>
      <c r="O38" s="33" t="s">
        <v>71</v>
      </c>
      <c r="P38" s="29">
        <v>63</v>
      </c>
      <c r="Q38" s="33" t="s">
        <v>359</v>
      </c>
      <c r="R38" s="33" t="s">
        <v>363</v>
      </c>
      <c r="S38" s="33">
        <v>142.69999999999999</v>
      </c>
      <c r="T38" s="61" t="s">
        <v>106</v>
      </c>
      <c r="U38" s="29">
        <v>3.3</v>
      </c>
      <c r="V38" s="29">
        <v>1</v>
      </c>
      <c r="W38" s="29">
        <v>4.3</v>
      </c>
      <c r="X38" s="29" t="s">
        <v>114</v>
      </c>
      <c r="Y38" s="61"/>
      <c r="AA38" s="29">
        <f t="shared" si="1"/>
        <v>24</v>
      </c>
      <c r="AB38" s="29" t="s">
        <v>71</v>
      </c>
      <c r="AC38" s="29">
        <v>63</v>
      </c>
      <c r="AD38" s="33" t="s">
        <v>360</v>
      </c>
      <c r="AE38" s="33" t="s">
        <v>364</v>
      </c>
      <c r="AF38" s="33">
        <v>77.2</v>
      </c>
      <c r="AG38" s="29" t="s">
        <v>276</v>
      </c>
      <c r="AH38" s="29">
        <v>3.5</v>
      </c>
      <c r="AI38" s="29">
        <v>1</v>
      </c>
      <c r="AJ38" s="29">
        <v>4.5</v>
      </c>
      <c r="AK38" s="29" t="s">
        <v>114</v>
      </c>
      <c r="AL38" s="61"/>
      <c r="AN38" s="29">
        <f t="shared" si="2"/>
        <v>24</v>
      </c>
      <c r="AO38" s="29" t="s">
        <v>71</v>
      </c>
      <c r="AP38" s="29">
        <v>63</v>
      </c>
      <c r="AQ38" s="33" t="s">
        <v>361</v>
      </c>
      <c r="AR38" s="33" t="s">
        <v>365</v>
      </c>
      <c r="AS38" s="29">
        <v>18.100000000000001</v>
      </c>
      <c r="AT38" s="33" t="s">
        <v>106</v>
      </c>
      <c r="AU38" s="29">
        <v>3</v>
      </c>
      <c r="AV38" s="29">
        <v>1</v>
      </c>
      <c r="AW38" s="33">
        <v>4</v>
      </c>
      <c r="AX38" s="29" t="s">
        <v>114</v>
      </c>
      <c r="AY38" s="61"/>
      <c r="BA38" s="29">
        <f t="shared" si="3"/>
        <v>24</v>
      </c>
      <c r="BB38" s="29" t="s">
        <v>71</v>
      </c>
      <c r="BC38" s="29">
        <v>63</v>
      </c>
      <c r="BD38" s="29" t="s">
        <v>362</v>
      </c>
      <c r="BE38" s="29" t="s">
        <v>366</v>
      </c>
      <c r="BF38" s="29">
        <v>121</v>
      </c>
      <c r="BG38" s="33" t="s">
        <v>285</v>
      </c>
      <c r="BH38" s="29">
        <v>3.2</v>
      </c>
      <c r="BI38" s="29">
        <v>1</v>
      </c>
      <c r="BJ38" s="33">
        <v>4.2</v>
      </c>
      <c r="BK38" s="29" t="s">
        <v>114</v>
      </c>
      <c r="BL38" s="29"/>
    </row>
    <row r="39" spans="14:64">
      <c r="N39" s="33">
        <f t="shared" si="5"/>
        <v>25</v>
      </c>
      <c r="O39" s="33" t="s">
        <v>71</v>
      </c>
      <c r="P39" s="29">
        <v>63</v>
      </c>
      <c r="Q39" s="33" t="s">
        <v>363</v>
      </c>
      <c r="R39" s="33" t="s">
        <v>367</v>
      </c>
      <c r="S39" s="33">
        <v>27.8</v>
      </c>
      <c r="T39" s="61" t="s">
        <v>106</v>
      </c>
      <c r="U39" s="29">
        <v>3.3</v>
      </c>
      <c r="V39" s="29">
        <v>1</v>
      </c>
      <c r="W39" s="29">
        <v>4.3</v>
      </c>
      <c r="X39" s="29" t="s">
        <v>114</v>
      </c>
      <c r="Y39" s="61"/>
      <c r="AA39" s="238"/>
      <c r="AB39" s="222"/>
      <c r="AC39" s="239" t="s">
        <v>86</v>
      </c>
      <c r="AD39" s="240"/>
      <c r="AE39" s="240"/>
      <c r="AF39" s="241"/>
      <c r="AG39" s="239" t="s">
        <v>87</v>
      </c>
      <c r="AH39" s="240"/>
      <c r="AI39" s="241"/>
      <c r="AJ39" s="239" t="s">
        <v>39</v>
      </c>
      <c r="AK39" s="240"/>
      <c r="AL39" s="242"/>
      <c r="AN39" s="29">
        <f t="shared" si="2"/>
        <v>25</v>
      </c>
      <c r="AO39" s="29" t="s">
        <v>71</v>
      </c>
      <c r="AP39" s="29">
        <v>63</v>
      </c>
      <c r="AQ39" s="33" t="s">
        <v>368</v>
      </c>
      <c r="AR39" s="33" t="s">
        <v>361</v>
      </c>
      <c r="AS39" s="29">
        <v>13.5</v>
      </c>
      <c r="AT39" s="33" t="s">
        <v>106</v>
      </c>
      <c r="AU39" s="29">
        <v>3</v>
      </c>
      <c r="AV39" s="29">
        <v>1</v>
      </c>
      <c r="AW39" s="33">
        <v>4</v>
      </c>
      <c r="AX39" s="29" t="s">
        <v>114</v>
      </c>
      <c r="AY39" s="61"/>
      <c r="BA39" s="29">
        <f t="shared" si="3"/>
        <v>25</v>
      </c>
      <c r="BB39" s="29" t="s">
        <v>71</v>
      </c>
      <c r="BC39" s="29">
        <v>63</v>
      </c>
      <c r="BD39" s="29" t="s">
        <v>369</v>
      </c>
      <c r="BE39" s="29" t="s">
        <v>370</v>
      </c>
      <c r="BF39" s="29">
        <v>20.6</v>
      </c>
      <c r="BG39" s="33" t="s">
        <v>285</v>
      </c>
      <c r="BH39" s="29">
        <v>3.2</v>
      </c>
      <c r="BI39" s="29">
        <v>1</v>
      </c>
      <c r="BJ39" s="33">
        <v>4.2</v>
      </c>
      <c r="BK39" s="29" t="s">
        <v>114</v>
      </c>
      <c r="BL39" s="29"/>
    </row>
    <row r="40" spans="14:64">
      <c r="N40" s="33">
        <f t="shared" si="5"/>
        <v>26</v>
      </c>
      <c r="O40" s="33" t="s">
        <v>71</v>
      </c>
      <c r="P40" s="29">
        <v>63</v>
      </c>
      <c r="Q40" s="33" t="s">
        <v>363</v>
      </c>
      <c r="R40" s="33" t="s">
        <v>367</v>
      </c>
      <c r="S40" s="33">
        <v>3.5</v>
      </c>
      <c r="T40" s="61" t="s">
        <v>106</v>
      </c>
      <c r="U40" s="29">
        <v>3.3</v>
      </c>
      <c r="V40" s="29">
        <v>1</v>
      </c>
      <c r="W40" s="29">
        <v>4.3</v>
      </c>
      <c r="X40" s="29" t="s">
        <v>114</v>
      </c>
      <c r="Y40" s="61"/>
      <c r="AA40" s="230" t="s">
        <v>40</v>
      </c>
      <c r="AB40" s="189"/>
      <c r="AC40" s="234"/>
      <c r="AD40" s="235"/>
      <c r="AE40" s="235"/>
      <c r="AF40" s="236"/>
      <c r="AG40" s="234"/>
      <c r="AH40" s="235"/>
      <c r="AI40" s="236"/>
      <c r="AJ40" s="234"/>
      <c r="AK40" s="235"/>
      <c r="AL40" s="237"/>
      <c r="AN40" s="29">
        <f t="shared" si="2"/>
        <v>26</v>
      </c>
      <c r="AO40" s="29" t="s">
        <v>71</v>
      </c>
      <c r="AP40" s="29">
        <v>63</v>
      </c>
      <c r="AQ40" s="33" t="s">
        <v>371</v>
      </c>
      <c r="AR40" s="33" t="s">
        <v>368</v>
      </c>
      <c r="AS40" s="29">
        <v>29</v>
      </c>
      <c r="AT40" s="33" t="s">
        <v>106</v>
      </c>
      <c r="AU40" s="29">
        <v>3</v>
      </c>
      <c r="AV40" s="29">
        <v>1</v>
      </c>
      <c r="AW40" s="33">
        <v>4</v>
      </c>
      <c r="AX40" s="29" t="s">
        <v>114</v>
      </c>
      <c r="AY40" s="61"/>
      <c r="BA40" s="29">
        <f t="shared" si="3"/>
        <v>26</v>
      </c>
      <c r="BB40" s="29" t="s">
        <v>71</v>
      </c>
      <c r="BC40" s="29">
        <v>63</v>
      </c>
      <c r="BD40" s="29" t="s">
        <v>366</v>
      </c>
      <c r="BE40" s="29" t="s">
        <v>154</v>
      </c>
      <c r="BF40" s="29">
        <v>26.5</v>
      </c>
      <c r="BG40" s="33" t="s">
        <v>285</v>
      </c>
      <c r="BH40" s="29">
        <v>3.2</v>
      </c>
      <c r="BI40" s="29">
        <v>1</v>
      </c>
      <c r="BJ40" s="33">
        <v>4.2</v>
      </c>
      <c r="BK40" s="29" t="s">
        <v>114</v>
      </c>
      <c r="BL40" s="29"/>
    </row>
    <row r="41" spans="14:64">
      <c r="N41" s="33">
        <f t="shared" si="5"/>
        <v>27</v>
      </c>
      <c r="O41" s="33" t="s">
        <v>71</v>
      </c>
      <c r="P41" s="29">
        <v>63</v>
      </c>
      <c r="Q41" s="33" t="s">
        <v>359</v>
      </c>
      <c r="R41" s="33" t="s">
        <v>372</v>
      </c>
      <c r="S41" s="33">
        <v>53.2</v>
      </c>
      <c r="T41" s="61" t="s">
        <v>106</v>
      </c>
      <c r="U41" s="29">
        <v>3.3</v>
      </c>
      <c r="V41" s="29">
        <v>1</v>
      </c>
      <c r="W41" s="29">
        <v>4.3</v>
      </c>
      <c r="X41" s="29" t="s">
        <v>114</v>
      </c>
      <c r="Y41" s="61"/>
      <c r="AA41" s="230" t="s">
        <v>42</v>
      </c>
      <c r="AB41" s="189"/>
      <c r="AC41" s="234"/>
      <c r="AD41" s="235"/>
      <c r="AE41" s="235"/>
      <c r="AF41" s="236"/>
      <c r="AG41" s="234"/>
      <c r="AH41" s="235"/>
      <c r="AI41" s="236"/>
      <c r="AJ41" s="234"/>
      <c r="AK41" s="235"/>
      <c r="AL41" s="237"/>
      <c r="AN41" s="29">
        <f t="shared" si="2"/>
        <v>27</v>
      </c>
      <c r="AO41" s="29" t="s">
        <v>71</v>
      </c>
      <c r="AP41" s="29">
        <v>63</v>
      </c>
      <c r="AQ41" s="33" t="s">
        <v>373</v>
      </c>
      <c r="AR41" s="33" t="s">
        <v>374</v>
      </c>
      <c r="AS41" s="29">
        <v>44</v>
      </c>
      <c r="AT41" s="33" t="s">
        <v>106</v>
      </c>
      <c r="AU41" s="29">
        <v>3</v>
      </c>
      <c r="AV41" s="29">
        <v>1</v>
      </c>
      <c r="AW41" s="33">
        <v>4</v>
      </c>
      <c r="AX41" s="29" t="s">
        <v>114</v>
      </c>
      <c r="AY41" s="61"/>
      <c r="BA41" s="29">
        <f t="shared" si="3"/>
        <v>27</v>
      </c>
      <c r="BB41" s="29" t="s">
        <v>71</v>
      </c>
      <c r="BC41" s="29">
        <v>63</v>
      </c>
      <c r="BD41" s="29" t="s">
        <v>154</v>
      </c>
      <c r="BE41" s="29" t="s">
        <v>375</v>
      </c>
      <c r="BF41" s="29">
        <v>29</v>
      </c>
      <c r="BG41" s="33" t="s">
        <v>285</v>
      </c>
      <c r="BH41" s="29">
        <v>3.2</v>
      </c>
      <c r="BI41" s="29">
        <v>1</v>
      </c>
      <c r="BJ41" s="33">
        <v>4.2</v>
      </c>
      <c r="BK41" s="29" t="s">
        <v>114</v>
      </c>
      <c r="BL41" s="29"/>
    </row>
    <row r="42" spans="14:64">
      <c r="N42" s="33">
        <f t="shared" si="5"/>
        <v>28</v>
      </c>
      <c r="O42" s="33" t="s">
        <v>71</v>
      </c>
      <c r="P42" s="29">
        <v>63</v>
      </c>
      <c r="Q42" s="33" t="s">
        <v>372</v>
      </c>
      <c r="R42" s="33" t="s">
        <v>290</v>
      </c>
      <c r="S42" s="33">
        <v>52.4</v>
      </c>
      <c r="T42" s="61" t="s">
        <v>106</v>
      </c>
      <c r="U42" s="29">
        <v>3.3</v>
      </c>
      <c r="V42" s="29">
        <v>1</v>
      </c>
      <c r="W42" s="29">
        <v>4.3</v>
      </c>
      <c r="X42" s="29" t="s">
        <v>114</v>
      </c>
      <c r="Y42" s="61"/>
      <c r="AN42" s="29">
        <f t="shared" si="2"/>
        <v>28</v>
      </c>
      <c r="AO42" s="29" t="s">
        <v>71</v>
      </c>
      <c r="AP42" s="29">
        <v>63</v>
      </c>
      <c r="AQ42" s="33" t="s">
        <v>374</v>
      </c>
      <c r="AR42" s="33" t="s">
        <v>376</v>
      </c>
      <c r="AS42" s="29">
        <v>77</v>
      </c>
      <c r="AT42" s="33" t="s">
        <v>106</v>
      </c>
      <c r="AU42" s="29">
        <v>3</v>
      </c>
      <c r="AV42" s="29">
        <v>1</v>
      </c>
      <c r="AW42" s="33">
        <v>4</v>
      </c>
      <c r="AX42" s="29" t="s">
        <v>114</v>
      </c>
      <c r="AY42" s="61"/>
      <c r="BA42" s="29">
        <f t="shared" si="3"/>
        <v>28</v>
      </c>
      <c r="BB42" s="29" t="s">
        <v>71</v>
      </c>
      <c r="BC42" s="29">
        <v>63</v>
      </c>
      <c r="BD42" s="29" t="s">
        <v>154</v>
      </c>
      <c r="BE42" s="29" t="s">
        <v>377</v>
      </c>
      <c r="BF42" s="29">
        <v>45.7</v>
      </c>
      <c r="BG42" s="33" t="s">
        <v>285</v>
      </c>
      <c r="BH42" s="29">
        <v>3.2</v>
      </c>
      <c r="BI42" s="29">
        <v>1</v>
      </c>
      <c r="BJ42" s="33">
        <v>4.2</v>
      </c>
      <c r="BK42" s="29" t="s">
        <v>114</v>
      </c>
      <c r="BL42" s="29"/>
    </row>
    <row r="43" spans="14:64">
      <c r="N43" s="33">
        <f t="shared" si="5"/>
        <v>29</v>
      </c>
      <c r="O43" s="33" t="s">
        <v>71</v>
      </c>
      <c r="P43" s="29">
        <v>63</v>
      </c>
      <c r="Q43" s="33" t="s">
        <v>290</v>
      </c>
      <c r="R43" s="33" t="s">
        <v>378</v>
      </c>
      <c r="S43" s="33">
        <v>67.2</v>
      </c>
      <c r="T43" s="61" t="s">
        <v>106</v>
      </c>
      <c r="U43" s="29">
        <v>3.3</v>
      </c>
      <c r="V43" s="29">
        <v>1</v>
      </c>
      <c r="W43" s="29">
        <v>4.3</v>
      </c>
      <c r="X43" s="29" t="s">
        <v>114</v>
      </c>
      <c r="Y43" s="61"/>
      <c r="AN43" s="29">
        <f t="shared" si="2"/>
        <v>29</v>
      </c>
      <c r="AO43" s="29" t="s">
        <v>71</v>
      </c>
      <c r="AP43" s="29">
        <v>63</v>
      </c>
      <c r="AQ43" s="33" t="s">
        <v>374</v>
      </c>
      <c r="AR43" s="29" t="s">
        <v>379</v>
      </c>
      <c r="AS43" s="29">
        <v>8.3000000000000007</v>
      </c>
      <c r="AT43" s="33" t="s">
        <v>106</v>
      </c>
      <c r="AU43" s="29">
        <v>3</v>
      </c>
      <c r="AV43" s="29">
        <v>1</v>
      </c>
      <c r="AW43" s="33">
        <v>4</v>
      </c>
      <c r="AX43" s="29" t="s">
        <v>114</v>
      </c>
      <c r="AY43" s="61"/>
      <c r="BA43" s="29">
        <f t="shared" si="3"/>
        <v>29</v>
      </c>
      <c r="BB43" s="29" t="s">
        <v>71</v>
      </c>
      <c r="BC43" s="29">
        <v>63</v>
      </c>
      <c r="BD43" s="29" t="s">
        <v>154</v>
      </c>
      <c r="BE43" s="29" t="s">
        <v>377</v>
      </c>
      <c r="BF43" s="29">
        <v>9.8000000000000007</v>
      </c>
      <c r="BG43" s="33" t="s">
        <v>285</v>
      </c>
      <c r="BH43" s="29">
        <v>3.2</v>
      </c>
      <c r="BI43" s="29">
        <v>1</v>
      </c>
      <c r="BJ43" s="33">
        <v>4.2</v>
      </c>
      <c r="BK43" s="29" t="s">
        <v>114</v>
      </c>
      <c r="BL43" s="29"/>
    </row>
    <row r="44" spans="14:64">
      <c r="N44" s="33">
        <f t="shared" si="5"/>
        <v>30</v>
      </c>
      <c r="O44" s="33" t="s">
        <v>71</v>
      </c>
      <c r="P44" s="29">
        <v>63</v>
      </c>
      <c r="Q44" s="33" t="s">
        <v>378</v>
      </c>
      <c r="R44" s="33" t="s">
        <v>372</v>
      </c>
      <c r="S44" s="29">
        <v>74</v>
      </c>
      <c r="T44" s="61" t="s">
        <v>106</v>
      </c>
      <c r="U44" s="29">
        <v>3.3</v>
      </c>
      <c r="V44" s="29">
        <v>1</v>
      </c>
      <c r="W44" s="29">
        <v>4.3</v>
      </c>
      <c r="X44" s="29" t="s">
        <v>114</v>
      </c>
      <c r="Y44" s="61"/>
      <c r="AN44" s="29">
        <f t="shared" si="2"/>
        <v>30</v>
      </c>
      <c r="AO44" s="29" t="s">
        <v>71</v>
      </c>
      <c r="AP44" s="55">
        <v>63</v>
      </c>
      <c r="AQ44" s="55" t="s">
        <v>379</v>
      </c>
      <c r="AR44" s="55" t="s">
        <v>380</v>
      </c>
      <c r="AS44" s="55">
        <v>35.299999999999997</v>
      </c>
      <c r="AT44" s="33" t="s">
        <v>106</v>
      </c>
      <c r="AU44" s="29">
        <v>3</v>
      </c>
      <c r="AV44" s="29">
        <v>1</v>
      </c>
      <c r="AW44" s="33">
        <v>4</v>
      </c>
      <c r="AX44" s="29" t="s">
        <v>114</v>
      </c>
      <c r="AY44" s="61"/>
      <c r="BA44" s="29">
        <f t="shared" si="3"/>
        <v>30</v>
      </c>
      <c r="BB44" s="29" t="s">
        <v>71</v>
      </c>
      <c r="BC44" s="29">
        <v>63</v>
      </c>
      <c r="BD44" s="29" t="s">
        <v>381</v>
      </c>
      <c r="BE44" s="29" t="s">
        <v>382</v>
      </c>
      <c r="BF44" s="29">
        <v>3</v>
      </c>
      <c r="BG44" s="33" t="s">
        <v>285</v>
      </c>
      <c r="BH44" s="29">
        <v>3.2</v>
      </c>
      <c r="BI44" s="29">
        <v>1</v>
      </c>
      <c r="BJ44" s="33">
        <v>4.2</v>
      </c>
      <c r="BK44" s="29" t="s">
        <v>114</v>
      </c>
      <c r="BL44" s="29"/>
    </row>
    <row r="45" spans="14:64">
      <c r="N45" s="33">
        <f t="shared" si="5"/>
        <v>31</v>
      </c>
      <c r="O45" s="33" t="s">
        <v>71</v>
      </c>
      <c r="P45" s="29">
        <v>63</v>
      </c>
      <c r="Q45" s="33" t="s">
        <v>363</v>
      </c>
      <c r="R45" s="33" t="s">
        <v>281</v>
      </c>
      <c r="S45" s="33">
        <v>100</v>
      </c>
      <c r="T45" s="61" t="s">
        <v>106</v>
      </c>
      <c r="U45" s="29">
        <v>3.3</v>
      </c>
      <c r="V45" s="29">
        <v>1</v>
      </c>
      <c r="W45" s="29">
        <v>4.3</v>
      </c>
      <c r="X45" s="29" t="s">
        <v>114</v>
      </c>
      <c r="Y45" s="61"/>
      <c r="AN45" s="29">
        <f t="shared" si="2"/>
        <v>31</v>
      </c>
      <c r="AO45" s="29" t="s">
        <v>71</v>
      </c>
      <c r="AP45" s="55">
        <v>63</v>
      </c>
      <c r="AQ45" s="110" t="s">
        <v>374</v>
      </c>
      <c r="AR45" s="55" t="s">
        <v>383</v>
      </c>
      <c r="AS45" s="55">
        <v>37.299999999999997</v>
      </c>
      <c r="AT45" s="33" t="s">
        <v>106</v>
      </c>
      <c r="AU45" s="29">
        <v>3</v>
      </c>
      <c r="AV45" s="29">
        <v>1</v>
      </c>
      <c r="AW45" s="33">
        <v>4</v>
      </c>
      <c r="AX45" s="29" t="s">
        <v>114</v>
      </c>
      <c r="AY45" s="61"/>
      <c r="BA45" s="29">
        <f t="shared" si="3"/>
        <v>31</v>
      </c>
      <c r="BB45" s="29" t="s">
        <v>71</v>
      </c>
      <c r="BC45" s="29">
        <v>63</v>
      </c>
      <c r="BD45" s="29" t="s">
        <v>381</v>
      </c>
      <c r="BE45" s="29" t="s">
        <v>382</v>
      </c>
      <c r="BF45" s="29">
        <v>35.200000000000003</v>
      </c>
      <c r="BG45" s="33" t="s">
        <v>285</v>
      </c>
      <c r="BH45" s="29">
        <v>3.2</v>
      </c>
      <c r="BI45" s="29">
        <v>1</v>
      </c>
      <c r="BJ45" s="33">
        <v>4.2</v>
      </c>
      <c r="BK45" s="29" t="s">
        <v>114</v>
      </c>
      <c r="BL45" s="29"/>
    </row>
    <row r="46" spans="14:64">
      <c r="N46" s="238"/>
      <c r="O46" s="222"/>
      <c r="P46" s="239" t="s">
        <v>86</v>
      </c>
      <c r="Q46" s="240"/>
      <c r="R46" s="240"/>
      <c r="S46" s="241"/>
      <c r="T46" s="239" t="s">
        <v>87</v>
      </c>
      <c r="U46" s="240"/>
      <c r="V46" s="241"/>
      <c r="W46" s="239" t="s">
        <v>39</v>
      </c>
      <c r="X46" s="240"/>
      <c r="Y46" s="242"/>
      <c r="AN46" s="29">
        <f t="shared" si="2"/>
        <v>32</v>
      </c>
      <c r="AO46" s="29" t="s">
        <v>71</v>
      </c>
      <c r="AP46" s="55">
        <v>160</v>
      </c>
      <c r="AQ46" s="55" t="s">
        <v>384</v>
      </c>
      <c r="AR46" s="55" t="s">
        <v>373</v>
      </c>
      <c r="AS46" s="55">
        <v>192</v>
      </c>
      <c r="AT46" s="33" t="s">
        <v>106</v>
      </c>
      <c r="AU46" s="29">
        <v>3</v>
      </c>
      <c r="AV46" s="29">
        <v>1</v>
      </c>
      <c r="AW46" s="33">
        <v>4</v>
      </c>
      <c r="AX46" s="29" t="s">
        <v>114</v>
      </c>
      <c r="AY46" s="61"/>
      <c r="BA46" s="29">
        <f t="shared" si="3"/>
        <v>32</v>
      </c>
      <c r="BB46" s="29" t="s">
        <v>71</v>
      </c>
      <c r="BC46" s="29">
        <v>140</v>
      </c>
      <c r="BD46" s="55" t="s">
        <v>385</v>
      </c>
      <c r="BE46" s="55" t="s">
        <v>386</v>
      </c>
      <c r="BF46" s="29">
        <v>133.5</v>
      </c>
      <c r="BG46" s="33" t="s">
        <v>285</v>
      </c>
      <c r="BH46" s="29">
        <v>3.2</v>
      </c>
      <c r="BI46" s="29">
        <v>1</v>
      </c>
      <c r="BJ46" s="33">
        <v>4.2</v>
      </c>
      <c r="BK46" s="29" t="s">
        <v>114</v>
      </c>
      <c r="BL46" s="29"/>
    </row>
    <row r="47" spans="14:64">
      <c r="N47" s="230" t="s">
        <v>40</v>
      </c>
      <c r="O47" s="189"/>
      <c r="P47" s="234"/>
      <c r="Q47" s="235"/>
      <c r="R47" s="235"/>
      <c r="S47" s="236"/>
      <c r="T47" s="234"/>
      <c r="U47" s="235"/>
      <c r="V47" s="236"/>
      <c r="W47" s="234"/>
      <c r="X47" s="235"/>
      <c r="Y47" s="237"/>
      <c r="AN47" s="29">
        <f t="shared" si="2"/>
        <v>33</v>
      </c>
      <c r="AO47" s="29" t="s">
        <v>71</v>
      </c>
      <c r="AP47" s="55">
        <v>63</v>
      </c>
      <c r="AQ47" s="110" t="s">
        <v>387</v>
      </c>
      <c r="AR47" s="110" t="s">
        <v>388</v>
      </c>
      <c r="AS47" s="55">
        <v>55.5</v>
      </c>
      <c r="AT47" s="33" t="s">
        <v>106</v>
      </c>
      <c r="AU47" s="29">
        <v>3</v>
      </c>
      <c r="AV47" s="29">
        <v>1</v>
      </c>
      <c r="AW47" s="33">
        <v>4</v>
      </c>
      <c r="AX47" s="29" t="s">
        <v>114</v>
      </c>
      <c r="AY47" s="61"/>
      <c r="BA47" s="29">
        <f t="shared" si="3"/>
        <v>33</v>
      </c>
      <c r="BB47" s="29" t="s">
        <v>71</v>
      </c>
      <c r="BC47" s="29">
        <v>125</v>
      </c>
      <c r="BD47" s="29" t="s">
        <v>386</v>
      </c>
      <c r="BE47" s="29" t="s">
        <v>389</v>
      </c>
      <c r="BF47" s="29">
        <v>100</v>
      </c>
      <c r="BG47" s="33" t="s">
        <v>285</v>
      </c>
      <c r="BH47" s="29">
        <v>3.2</v>
      </c>
      <c r="BI47" s="29">
        <v>1</v>
      </c>
      <c r="BJ47" s="33">
        <v>4.2</v>
      </c>
      <c r="BK47" s="29" t="s">
        <v>114</v>
      </c>
      <c r="BL47" s="29"/>
    </row>
    <row r="48" spans="14:64">
      <c r="N48" s="230" t="s">
        <v>42</v>
      </c>
      <c r="O48" s="189"/>
      <c r="P48" s="234"/>
      <c r="Q48" s="235"/>
      <c r="R48" s="235"/>
      <c r="S48" s="236"/>
      <c r="T48" s="234"/>
      <c r="U48" s="235"/>
      <c r="V48" s="236"/>
      <c r="W48" s="234"/>
      <c r="X48" s="235"/>
      <c r="Y48" s="237"/>
      <c r="AN48" s="29">
        <f t="shared" si="2"/>
        <v>34</v>
      </c>
      <c r="AO48" s="29" t="s">
        <v>71</v>
      </c>
      <c r="AP48" s="55">
        <v>63</v>
      </c>
      <c r="AQ48" s="110" t="s">
        <v>387</v>
      </c>
      <c r="AR48" s="110" t="s">
        <v>388</v>
      </c>
      <c r="AS48" s="55">
        <v>3.5</v>
      </c>
      <c r="AT48" s="33" t="s">
        <v>106</v>
      </c>
      <c r="AU48" s="29">
        <v>3</v>
      </c>
      <c r="AV48" s="29">
        <v>1</v>
      </c>
      <c r="AW48" s="33">
        <v>4</v>
      </c>
      <c r="AX48" s="29" t="s">
        <v>114</v>
      </c>
      <c r="AY48" s="61"/>
      <c r="BA48" s="29">
        <f t="shared" si="3"/>
        <v>34</v>
      </c>
      <c r="BB48" s="29" t="s">
        <v>71</v>
      </c>
      <c r="BC48" s="29">
        <v>110</v>
      </c>
      <c r="BD48" s="29" t="s">
        <v>389</v>
      </c>
      <c r="BE48" s="29" t="s">
        <v>237</v>
      </c>
      <c r="BF48" s="29">
        <v>49</v>
      </c>
      <c r="BG48" s="33" t="s">
        <v>285</v>
      </c>
      <c r="BH48" s="29">
        <v>3.2</v>
      </c>
      <c r="BI48" s="29">
        <v>1</v>
      </c>
      <c r="BJ48" s="33">
        <v>4.2</v>
      </c>
      <c r="BK48" s="29" t="s">
        <v>114</v>
      </c>
      <c r="BL48" s="29"/>
    </row>
    <row r="49" spans="14:64">
      <c r="N49" s="99"/>
      <c r="O49" s="99"/>
      <c r="P49" s="56"/>
      <c r="Q49" s="138"/>
      <c r="R49" s="56"/>
      <c r="S49" s="138"/>
      <c r="T49" s="47"/>
      <c r="U49" s="47"/>
      <c r="AN49" s="29">
        <f t="shared" si="2"/>
        <v>35</v>
      </c>
      <c r="AO49" s="29" t="s">
        <v>71</v>
      </c>
      <c r="AP49" s="55">
        <v>63</v>
      </c>
      <c r="AQ49" s="110" t="s">
        <v>390</v>
      </c>
      <c r="AR49" s="110" t="s">
        <v>391</v>
      </c>
      <c r="AS49" s="55">
        <v>60.6</v>
      </c>
      <c r="AT49" s="33" t="s">
        <v>106</v>
      </c>
      <c r="AU49" s="29">
        <v>3</v>
      </c>
      <c r="AV49" s="29">
        <v>1</v>
      </c>
      <c r="AW49" s="33">
        <v>4</v>
      </c>
      <c r="AX49" s="29" t="s">
        <v>114</v>
      </c>
      <c r="AY49" s="61"/>
      <c r="BA49" s="29">
        <f t="shared" si="3"/>
        <v>35</v>
      </c>
      <c r="BB49" s="29" t="s">
        <v>71</v>
      </c>
      <c r="BC49" s="29">
        <v>90</v>
      </c>
      <c r="BD49" s="29" t="s">
        <v>237</v>
      </c>
      <c r="BE49" s="29" t="s">
        <v>206</v>
      </c>
      <c r="BF49" s="29">
        <v>86</v>
      </c>
      <c r="BG49" s="33" t="s">
        <v>285</v>
      </c>
      <c r="BH49" s="29">
        <v>3.2</v>
      </c>
      <c r="BI49" s="29">
        <v>1</v>
      </c>
      <c r="BJ49" s="33">
        <v>4.2</v>
      </c>
      <c r="BK49" s="29" t="s">
        <v>114</v>
      </c>
      <c r="BL49" s="29"/>
    </row>
    <row r="50" spans="14:64">
      <c r="N50" s="99"/>
      <c r="O50" s="99"/>
      <c r="P50" s="56"/>
      <c r="Q50" s="138"/>
      <c r="R50" s="56"/>
      <c r="S50" s="138"/>
      <c r="T50" s="47"/>
      <c r="U50" s="47"/>
      <c r="AN50" s="29">
        <f t="shared" si="2"/>
        <v>36</v>
      </c>
      <c r="AO50" s="29" t="s">
        <v>71</v>
      </c>
      <c r="AP50" s="55">
        <v>63</v>
      </c>
      <c r="AQ50" s="110" t="s">
        <v>390</v>
      </c>
      <c r="AR50" s="110" t="s">
        <v>392</v>
      </c>
      <c r="AS50" s="110">
        <v>81.5</v>
      </c>
      <c r="AT50" s="33" t="s">
        <v>106</v>
      </c>
      <c r="AU50" s="29">
        <v>3</v>
      </c>
      <c r="AV50" s="29">
        <v>1</v>
      </c>
      <c r="AW50" s="33">
        <v>4</v>
      </c>
      <c r="AX50" s="29" t="s">
        <v>114</v>
      </c>
      <c r="AY50" s="61"/>
      <c r="BA50" s="29">
        <f t="shared" si="3"/>
        <v>36</v>
      </c>
      <c r="BB50" s="29" t="s">
        <v>71</v>
      </c>
      <c r="BC50" s="29">
        <v>110</v>
      </c>
      <c r="BD50" s="29" t="s">
        <v>205</v>
      </c>
      <c r="BE50" s="29" t="s">
        <v>221</v>
      </c>
      <c r="BF50" s="29">
        <v>216.9</v>
      </c>
      <c r="BG50" s="33" t="s">
        <v>285</v>
      </c>
      <c r="BH50" s="29">
        <v>3.2</v>
      </c>
      <c r="BI50" s="29">
        <v>1</v>
      </c>
      <c r="BJ50" s="33">
        <v>4.2</v>
      </c>
      <c r="BK50" s="29" t="s">
        <v>114</v>
      </c>
      <c r="BL50" s="29"/>
    </row>
    <row r="51" spans="14:64">
      <c r="N51" s="99"/>
      <c r="O51" s="99"/>
      <c r="P51" s="56"/>
      <c r="Q51" s="56"/>
      <c r="R51" s="56"/>
      <c r="S51" s="138"/>
      <c r="T51" s="47"/>
      <c r="U51" s="47"/>
      <c r="AN51" s="29">
        <f t="shared" si="2"/>
        <v>37</v>
      </c>
      <c r="AO51" s="29" t="s">
        <v>71</v>
      </c>
      <c r="AP51" s="55">
        <v>63</v>
      </c>
      <c r="AQ51" s="110" t="s">
        <v>392</v>
      </c>
      <c r="AR51" s="110" t="s">
        <v>393</v>
      </c>
      <c r="AS51" s="55">
        <v>37.4</v>
      </c>
      <c r="AT51" s="33" t="s">
        <v>106</v>
      </c>
      <c r="AU51" s="29">
        <v>3</v>
      </c>
      <c r="AV51" s="29">
        <v>1</v>
      </c>
      <c r="AW51" s="33">
        <v>4</v>
      </c>
      <c r="AX51" s="29" t="s">
        <v>114</v>
      </c>
      <c r="AY51" s="61"/>
      <c r="BA51" s="29">
        <f t="shared" si="3"/>
        <v>37</v>
      </c>
      <c r="BB51" s="29" t="s">
        <v>71</v>
      </c>
      <c r="BC51" s="29">
        <v>63</v>
      </c>
      <c r="BD51" s="29" t="s">
        <v>221</v>
      </c>
      <c r="BE51" s="29" t="s">
        <v>202</v>
      </c>
      <c r="BF51" s="29">
        <v>27.8</v>
      </c>
      <c r="BG51" s="33" t="s">
        <v>285</v>
      </c>
      <c r="BH51" s="29">
        <v>3.2</v>
      </c>
      <c r="BI51" s="29">
        <v>1</v>
      </c>
      <c r="BJ51" s="33">
        <v>4.2</v>
      </c>
      <c r="BK51" s="29" t="s">
        <v>114</v>
      </c>
      <c r="BL51" s="29"/>
    </row>
    <row r="52" spans="14:64">
      <c r="N52" s="99"/>
      <c r="O52" s="99"/>
      <c r="P52" s="56"/>
      <c r="Q52" s="56"/>
      <c r="R52" s="56"/>
      <c r="S52" s="138"/>
      <c r="T52" s="47"/>
      <c r="U52" s="47"/>
      <c r="AN52" s="29">
        <f t="shared" si="2"/>
        <v>38</v>
      </c>
      <c r="AO52" s="29" t="s">
        <v>71</v>
      </c>
      <c r="AP52" s="55">
        <v>63</v>
      </c>
      <c r="AQ52" s="110" t="s">
        <v>392</v>
      </c>
      <c r="AR52" s="110" t="s">
        <v>394</v>
      </c>
      <c r="AS52" s="55">
        <v>47.6</v>
      </c>
      <c r="AT52" s="33" t="s">
        <v>106</v>
      </c>
      <c r="AU52" s="29">
        <v>3</v>
      </c>
      <c r="AV52" s="29">
        <v>1</v>
      </c>
      <c r="AW52" s="33">
        <v>4</v>
      </c>
      <c r="AX52" s="29" t="s">
        <v>114</v>
      </c>
      <c r="AY52" s="61"/>
      <c r="BA52" s="29">
        <f t="shared" si="3"/>
        <v>38</v>
      </c>
      <c r="BB52" s="29" t="s">
        <v>71</v>
      </c>
      <c r="BC52" s="29">
        <v>90</v>
      </c>
      <c r="BD52" s="29" t="s">
        <v>221</v>
      </c>
      <c r="BE52" s="29" t="s">
        <v>83</v>
      </c>
      <c r="BF52" s="29">
        <v>136.6</v>
      </c>
      <c r="BG52" s="33" t="s">
        <v>285</v>
      </c>
      <c r="BH52" s="29">
        <v>3.2</v>
      </c>
      <c r="BI52" s="29">
        <v>1</v>
      </c>
      <c r="BJ52" s="33">
        <v>4.2</v>
      </c>
      <c r="BK52" s="29" t="s">
        <v>114</v>
      </c>
      <c r="BL52" s="29"/>
    </row>
    <row r="53" spans="14:64">
      <c r="N53" s="99"/>
      <c r="O53" s="99"/>
      <c r="P53" s="56"/>
      <c r="Q53" s="138"/>
      <c r="R53" s="138"/>
      <c r="S53" s="138"/>
      <c r="T53" s="47"/>
      <c r="U53" s="47"/>
      <c r="AN53" s="29">
        <f t="shared" si="2"/>
        <v>39</v>
      </c>
      <c r="AO53" s="29" t="s">
        <v>71</v>
      </c>
      <c r="AP53" s="55">
        <v>63</v>
      </c>
      <c r="AQ53" s="110" t="s">
        <v>395</v>
      </c>
      <c r="AR53" s="110" t="s">
        <v>390</v>
      </c>
      <c r="AS53" s="55">
        <v>147</v>
      </c>
      <c r="AT53" s="33" t="s">
        <v>106</v>
      </c>
      <c r="AU53" s="29">
        <v>3</v>
      </c>
      <c r="AV53" s="29">
        <v>1</v>
      </c>
      <c r="AW53" s="33">
        <v>4</v>
      </c>
      <c r="AX53" s="29" t="s">
        <v>114</v>
      </c>
      <c r="AY53" s="61"/>
      <c r="BA53" s="29">
        <f t="shared" si="3"/>
        <v>39</v>
      </c>
      <c r="BB53" s="29" t="s">
        <v>71</v>
      </c>
      <c r="BC53" s="29">
        <v>63</v>
      </c>
      <c r="BD53" s="33" t="s">
        <v>83</v>
      </c>
      <c r="BE53" s="33" t="s">
        <v>396</v>
      </c>
      <c r="BF53" s="29">
        <v>202.5</v>
      </c>
      <c r="BG53" s="33" t="s">
        <v>285</v>
      </c>
      <c r="BH53" s="29">
        <v>3.2</v>
      </c>
      <c r="BI53" s="29">
        <v>1</v>
      </c>
      <c r="BJ53" s="33">
        <v>4.2</v>
      </c>
      <c r="BK53" s="29" t="s">
        <v>114</v>
      </c>
      <c r="BL53" s="29"/>
    </row>
    <row r="54" spans="14:64">
      <c r="N54" s="99"/>
      <c r="O54" s="99"/>
      <c r="P54" s="56"/>
      <c r="Q54" s="138"/>
      <c r="R54" s="138"/>
      <c r="S54" s="138"/>
      <c r="T54" s="47"/>
      <c r="U54" s="47"/>
      <c r="AN54" s="29">
        <f t="shared" si="2"/>
        <v>40</v>
      </c>
      <c r="AO54" s="29" t="s">
        <v>71</v>
      </c>
      <c r="AP54" s="55">
        <v>90</v>
      </c>
      <c r="AQ54" s="110" t="s">
        <v>206</v>
      </c>
      <c r="AR54" s="110" t="s">
        <v>301</v>
      </c>
      <c r="AS54" s="55">
        <v>214</v>
      </c>
      <c r="AT54" s="33" t="s">
        <v>106</v>
      </c>
      <c r="AU54" s="29">
        <v>3</v>
      </c>
      <c r="AV54" s="29">
        <v>1</v>
      </c>
      <c r="AW54" s="33">
        <v>4</v>
      </c>
      <c r="AX54" s="29" t="s">
        <v>114</v>
      </c>
      <c r="AY54" s="61"/>
      <c r="BA54" s="29">
        <f t="shared" si="3"/>
        <v>40</v>
      </c>
      <c r="BB54" s="29" t="s">
        <v>71</v>
      </c>
      <c r="BC54" s="29">
        <v>63</v>
      </c>
      <c r="BD54" s="33" t="s">
        <v>218</v>
      </c>
      <c r="BE54" s="33" t="s">
        <v>286</v>
      </c>
      <c r="BF54" s="29">
        <v>56.9</v>
      </c>
      <c r="BG54" s="33" t="s">
        <v>285</v>
      </c>
      <c r="BH54" s="29">
        <v>3.2</v>
      </c>
      <c r="BI54" s="29">
        <v>1</v>
      </c>
      <c r="BJ54" s="33">
        <v>4.2</v>
      </c>
      <c r="BK54" s="29" t="s">
        <v>114</v>
      </c>
      <c r="BL54" s="29"/>
    </row>
    <row r="55" spans="14:64">
      <c r="N55" s="99"/>
      <c r="O55" s="99"/>
      <c r="P55" s="56"/>
      <c r="Q55" s="138"/>
      <c r="R55" s="138"/>
      <c r="S55" s="138"/>
      <c r="T55" s="47"/>
      <c r="U55" s="47"/>
      <c r="AN55" s="29">
        <f t="shared" si="2"/>
        <v>41</v>
      </c>
      <c r="AO55" s="29" t="s">
        <v>71</v>
      </c>
      <c r="AP55" s="55">
        <v>63</v>
      </c>
      <c r="AQ55" s="110" t="s">
        <v>354</v>
      </c>
      <c r="AR55" s="110" t="s">
        <v>224</v>
      </c>
      <c r="AS55" s="110">
        <v>373.4</v>
      </c>
      <c r="AT55" s="33" t="s">
        <v>106</v>
      </c>
      <c r="AU55" s="29">
        <v>3</v>
      </c>
      <c r="AV55" s="29">
        <v>1</v>
      </c>
      <c r="AW55" s="33">
        <v>4</v>
      </c>
      <c r="AX55" s="29" t="s">
        <v>114</v>
      </c>
      <c r="AY55" s="61"/>
      <c r="BA55" s="238"/>
      <c r="BB55" s="222"/>
      <c r="BC55" s="239" t="s">
        <v>86</v>
      </c>
      <c r="BD55" s="240"/>
      <c r="BE55" s="240"/>
      <c r="BF55" s="241"/>
      <c r="BG55" s="239" t="s">
        <v>87</v>
      </c>
      <c r="BH55" s="240"/>
      <c r="BI55" s="241"/>
      <c r="BJ55" s="239" t="s">
        <v>39</v>
      </c>
      <c r="BK55" s="240"/>
      <c r="BL55" s="242"/>
    </row>
    <row r="56" spans="14:64">
      <c r="N56" s="99"/>
      <c r="O56" s="99"/>
      <c r="P56" s="56"/>
      <c r="Q56" s="138"/>
      <c r="R56" s="138"/>
      <c r="S56" s="138"/>
      <c r="T56" s="47"/>
      <c r="U56" s="47"/>
      <c r="AN56" s="29">
        <f t="shared" si="2"/>
        <v>42</v>
      </c>
      <c r="AO56" s="29" t="s">
        <v>71</v>
      </c>
      <c r="AP56" s="55">
        <v>63</v>
      </c>
      <c r="AQ56" s="110" t="s">
        <v>354</v>
      </c>
      <c r="AR56" s="110" t="s">
        <v>224</v>
      </c>
      <c r="AS56" s="110">
        <v>3</v>
      </c>
      <c r="AT56" s="33" t="s">
        <v>106</v>
      </c>
      <c r="AU56" s="29">
        <v>3</v>
      </c>
      <c r="AV56" s="29">
        <v>1</v>
      </c>
      <c r="AW56" s="33">
        <v>4</v>
      </c>
      <c r="AX56" s="29" t="s">
        <v>114</v>
      </c>
      <c r="AY56" s="61"/>
      <c r="BA56" s="230" t="s">
        <v>40</v>
      </c>
      <c r="BB56" s="189"/>
      <c r="BC56" s="234"/>
      <c r="BD56" s="235"/>
      <c r="BE56" s="235"/>
      <c r="BF56" s="236"/>
      <c r="BG56" s="234"/>
      <c r="BH56" s="235"/>
      <c r="BI56" s="236"/>
      <c r="BJ56" s="234"/>
      <c r="BK56" s="235"/>
      <c r="BL56" s="237"/>
    </row>
    <row r="57" spans="14:64">
      <c r="N57" s="99"/>
      <c r="O57" s="99"/>
      <c r="P57" s="56"/>
      <c r="Q57" s="138"/>
      <c r="R57" s="138"/>
      <c r="S57" s="56"/>
      <c r="T57" s="47"/>
      <c r="U57" s="47"/>
      <c r="AN57" s="29">
        <f t="shared" si="2"/>
        <v>43</v>
      </c>
      <c r="AO57" s="29" t="s">
        <v>71</v>
      </c>
      <c r="AP57" s="55">
        <v>63</v>
      </c>
      <c r="AQ57" s="110" t="s">
        <v>354</v>
      </c>
      <c r="AR57" s="110" t="s">
        <v>312</v>
      </c>
      <c r="AS57" s="110">
        <v>27.4</v>
      </c>
      <c r="AT57" s="33" t="s">
        <v>106</v>
      </c>
      <c r="AU57" s="29">
        <v>3</v>
      </c>
      <c r="AV57" s="29">
        <v>1</v>
      </c>
      <c r="AW57" s="33">
        <v>4</v>
      </c>
      <c r="AX57" s="29" t="s">
        <v>114</v>
      </c>
      <c r="AY57" s="61"/>
      <c r="BA57" s="230" t="s">
        <v>42</v>
      </c>
      <c r="BB57" s="189"/>
      <c r="BC57" s="234"/>
      <c r="BD57" s="235"/>
      <c r="BE57" s="235"/>
      <c r="BF57" s="236"/>
      <c r="BG57" s="234"/>
      <c r="BH57" s="235"/>
      <c r="BI57" s="236"/>
      <c r="BJ57" s="234"/>
      <c r="BK57" s="235"/>
      <c r="BL57" s="237"/>
    </row>
    <row r="58" spans="14:64">
      <c r="N58" s="99"/>
      <c r="O58" s="99"/>
      <c r="P58" s="56"/>
      <c r="Q58" s="138"/>
      <c r="R58" s="138"/>
      <c r="S58" s="56"/>
      <c r="T58" s="47"/>
      <c r="U58" s="47"/>
      <c r="AN58" s="29">
        <f t="shared" si="2"/>
        <v>44</v>
      </c>
      <c r="AO58" s="29" t="s">
        <v>71</v>
      </c>
      <c r="AP58" s="55">
        <v>63</v>
      </c>
      <c r="AQ58" s="110" t="s">
        <v>312</v>
      </c>
      <c r="AR58" s="110" t="s">
        <v>309</v>
      </c>
      <c r="AS58" s="110">
        <v>12</v>
      </c>
      <c r="AT58" s="33" t="s">
        <v>106</v>
      </c>
      <c r="AU58" s="29">
        <v>3</v>
      </c>
      <c r="AV58" s="29">
        <v>1</v>
      </c>
      <c r="AW58" s="33">
        <v>4</v>
      </c>
      <c r="AX58" s="29" t="s">
        <v>114</v>
      </c>
      <c r="AY58" s="61"/>
    </row>
    <row r="59" spans="14:64">
      <c r="N59" s="99"/>
      <c r="O59" s="99"/>
      <c r="P59" s="56"/>
      <c r="Q59" s="138"/>
      <c r="R59" s="138"/>
      <c r="S59" s="56"/>
      <c r="T59" s="47"/>
      <c r="U59" s="47"/>
      <c r="AN59" s="29">
        <f t="shared" si="2"/>
        <v>45</v>
      </c>
      <c r="AO59" s="29" t="s">
        <v>71</v>
      </c>
      <c r="AP59" s="55">
        <v>63</v>
      </c>
      <c r="AQ59" s="110" t="s">
        <v>309</v>
      </c>
      <c r="AR59" s="110" t="s">
        <v>294</v>
      </c>
      <c r="AS59" s="110">
        <v>34</v>
      </c>
      <c r="AT59" s="33" t="s">
        <v>106</v>
      </c>
      <c r="AU59" s="29">
        <v>3</v>
      </c>
      <c r="AV59" s="29">
        <v>1</v>
      </c>
      <c r="AW59" s="33">
        <v>4</v>
      </c>
      <c r="AX59" s="29" t="s">
        <v>114</v>
      </c>
      <c r="AY59" s="61"/>
    </row>
    <row r="60" spans="14:64">
      <c r="N60" s="99"/>
      <c r="O60" s="99"/>
      <c r="P60" s="56"/>
      <c r="Q60" s="56"/>
      <c r="R60" s="56"/>
      <c r="S60" s="138"/>
      <c r="T60" s="47"/>
      <c r="U60" s="47"/>
      <c r="AN60" s="29">
        <f t="shared" si="2"/>
        <v>46</v>
      </c>
      <c r="AO60" s="29" t="s">
        <v>71</v>
      </c>
      <c r="AP60" s="55">
        <v>63</v>
      </c>
      <c r="AQ60" s="110" t="s">
        <v>294</v>
      </c>
      <c r="AR60" s="110" t="s">
        <v>116</v>
      </c>
      <c r="AS60" s="110">
        <v>23.2</v>
      </c>
      <c r="AT60" s="33" t="s">
        <v>106</v>
      </c>
      <c r="AU60" s="29">
        <v>3</v>
      </c>
      <c r="AV60" s="29">
        <v>1</v>
      </c>
      <c r="AW60" s="33">
        <v>4</v>
      </c>
      <c r="AX60" s="29" t="s">
        <v>114</v>
      </c>
      <c r="AY60" s="61"/>
    </row>
    <row r="61" spans="14:64">
      <c r="N61" s="99"/>
      <c r="O61" s="99"/>
      <c r="P61" s="56"/>
      <c r="Q61" s="56"/>
      <c r="R61" s="56"/>
      <c r="S61" s="138"/>
      <c r="T61" s="47"/>
      <c r="U61" s="47"/>
      <c r="AN61" s="29">
        <f t="shared" si="2"/>
        <v>47</v>
      </c>
      <c r="AO61" s="29" t="s">
        <v>71</v>
      </c>
      <c r="AP61" s="55">
        <v>63</v>
      </c>
      <c r="AQ61" s="110" t="s">
        <v>116</v>
      </c>
      <c r="AR61" s="110" t="s">
        <v>397</v>
      </c>
      <c r="AS61" s="110">
        <v>40.299999999999997</v>
      </c>
      <c r="AT61" s="33" t="s">
        <v>106</v>
      </c>
      <c r="AU61" s="29">
        <v>3</v>
      </c>
      <c r="AV61" s="29">
        <v>1</v>
      </c>
      <c r="AW61" s="33">
        <v>4</v>
      </c>
      <c r="AX61" s="29" t="s">
        <v>114</v>
      </c>
      <c r="AY61" s="61"/>
    </row>
    <row r="62" spans="14:64">
      <c r="N62" s="99"/>
      <c r="O62" s="99"/>
      <c r="P62" s="56"/>
      <c r="Q62" s="56"/>
      <c r="R62" s="56"/>
      <c r="S62" s="56"/>
      <c r="T62" s="47"/>
      <c r="U62" s="47"/>
      <c r="AN62" s="238"/>
      <c r="AO62" s="222"/>
      <c r="AP62" s="239" t="s">
        <v>86</v>
      </c>
      <c r="AQ62" s="240"/>
      <c r="AR62" s="240"/>
      <c r="AS62" s="241"/>
      <c r="AT62" s="239" t="s">
        <v>87</v>
      </c>
      <c r="AU62" s="240"/>
      <c r="AV62" s="241"/>
      <c r="AW62" s="239" t="s">
        <v>39</v>
      </c>
      <c r="AX62" s="240"/>
      <c r="AY62" s="242"/>
    </row>
    <row r="63" spans="14:64">
      <c r="N63" s="99"/>
      <c r="O63" s="99"/>
      <c r="P63" s="56"/>
      <c r="Q63" s="56"/>
      <c r="R63" s="56"/>
      <c r="S63" s="56"/>
      <c r="T63" s="47"/>
      <c r="U63" s="47"/>
      <c r="AN63" s="230" t="s">
        <v>40</v>
      </c>
      <c r="AO63" s="189"/>
      <c r="AP63" s="234"/>
      <c r="AQ63" s="235"/>
      <c r="AR63" s="235"/>
      <c r="AS63" s="236"/>
      <c r="AT63" s="234"/>
      <c r="AU63" s="235"/>
      <c r="AV63" s="236"/>
      <c r="AW63" s="234"/>
      <c r="AX63" s="235"/>
      <c r="AY63" s="237"/>
    </row>
    <row r="64" spans="14:64">
      <c r="N64" s="99"/>
      <c r="O64" s="99"/>
      <c r="P64" s="56"/>
      <c r="Q64" s="138"/>
      <c r="R64" s="138"/>
      <c r="S64" s="56"/>
      <c r="T64" s="47"/>
      <c r="U64" s="47"/>
      <c r="AN64" s="230" t="s">
        <v>42</v>
      </c>
      <c r="AO64" s="189"/>
      <c r="AP64" s="234"/>
      <c r="AQ64" s="235"/>
      <c r="AR64" s="235"/>
      <c r="AS64" s="236"/>
      <c r="AT64" s="234"/>
      <c r="AU64" s="235"/>
      <c r="AV64" s="236"/>
      <c r="AW64" s="234"/>
      <c r="AX64" s="235"/>
      <c r="AY64" s="237"/>
    </row>
    <row r="65" spans="14:21">
      <c r="N65" s="99"/>
      <c r="O65" s="99"/>
      <c r="P65" s="56"/>
      <c r="Q65" s="138"/>
      <c r="R65" s="138"/>
      <c r="S65" s="56"/>
      <c r="T65" s="47"/>
      <c r="U65" s="47"/>
    </row>
    <row r="66" spans="14:21">
      <c r="N66" s="99"/>
      <c r="O66" s="99"/>
      <c r="P66" s="56"/>
      <c r="Q66" s="138"/>
      <c r="R66" s="138"/>
      <c r="S66" s="138"/>
      <c r="T66" s="47"/>
      <c r="U66" s="47"/>
    </row>
    <row r="67" spans="14:21">
      <c r="N67" s="99"/>
      <c r="O67" s="99"/>
      <c r="P67" s="56"/>
      <c r="Q67" s="138"/>
      <c r="R67" s="138"/>
      <c r="S67" s="138"/>
      <c r="T67" s="47"/>
      <c r="U67" s="47"/>
    </row>
    <row r="68" spans="14:21">
      <c r="N68" s="99"/>
      <c r="O68" s="99"/>
      <c r="P68" s="56"/>
      <c r="Q68" s="138"/>
      <c r="R68" s="138"/>
      <c r="S68" s="138"/>
      <c r="T68" s="47"/>
      <c r="U68" s="47"/>
    </row>
    <row r="69" spans="14:21">
      <c r="N69" s="99"/>
      <c r="O69" s="99"/>
      <c r="P69" s="56"/>
      <c r="Q69" s="138"/>
      <c r="R69" s="138"/>
      <c r="S69" s="138"/>
      <c r="T69" s="47"/>
      <c r="U69" s="47"/>
    </row>
    <row r="70" spans="14:21">
      <c r="N70" s="99"/>
      <c r="O70" s="99"/>
      <c r="P70" s="56"/>
      <c r="Q70" s="138"/>
      <c r="R70" s="138"/>
      <c r="S70" s="138"/>
      <c r="T70" s="47"/>
      <c r="U70" s="47"/>
    </row>
    <row r="71" spans="14:21">
      <c r="N71" s="99"/>
      <c r="O71" s="99"/>
      <c r="P71" s="56"/>
      <c r="Q71" s="138"/>
      <c r="R71" s="138"/>
      <c r="S71" s="138"/>
      <c r="T71" s="47"/>
      <c r="U71" s="47"/>
    </row>
    <row r="72" spans="14:21">
      <c r="N72" s="99"/>
      <c r="O72" s="99"/>
      <c r="P72" s="56"/>
      <c r="Q72" s="138"/>
      <c r="R72" s="138"/>
      <c r="S72" s="138"/>
      <c r="T72" s="47"/>
      <c r="U72" s="47"/>
    </row>
    <row r="73" spans="14:21">
      <c r="N73" s="99"/>
      <c r="O73" s="99"/>
      <c r="P73" s="56"/>
      <c r="Q73" s="138"/>
      <c r="R73" s="138"/>
      <c r="S73" s="56"/>
      <c r="T73" s="47"/>
      <c r="U73" s="47"/>
    </row>
    <row r="74" spans="14:21">
      <c r="N74" s="99"/>
      <c r="O74" s="99"/>
      <c r="P74" s="56"/>
      <c r="Q74" s="138"/>
      <c r="R74" s="138"/>
      <c r="S74" s="138"/>
      <c r="T74" s="47"/>
      <c r="U74" s="47"/>
    </row>
    <row r="75" spans="14:21">
      <c r="N75" s="99"/>
      <c r="O75" s="99"/>
      <c r="P75" s="56"/>
      <c r="Q75" s="138"/>
      <c r="R75" s="138"/>
      <c r="S75" s="138"/>
      <c r="T75" s="47"/>
      <c r="U75" s="47"/>
    </row>
    <row r="76" spans="14:21">
      <c r="N76" s="99"/>
      <c r="O76" s="99"/>
      <c r="P76" s="56"/>
      <c r="Q76" s="138"/>
      <c r="R76" s="138"/>
      <c r="S76" s="138"/>
      <c r="T76" s="47"/>
      <c r="U76" s="47"/>
    </row>
    <row r="77" spans="14:21">
      <c r="N77" s="99"/>
      <c r="O77" s="99"/>
      <c r="P77" s="56"/>
      <c r="Q77" s="138"/>
      <c r="R77" s="56"/>
      <c r="S77" s="56"/>
      <c r="T77" s="47"/>
      <c r="U77" s="47"/>
    </row>
    <row r="78" spans="14:21">
      <c r="N78" s="99"/>
      <c r="O78" s="99"/>
      <c r="P78" s="56"/>
      <c r="Q78" s="138"/>
      <c r="R78" s="56"/>
      <c r="S78" s="56"/>
      <c r="T78" s="47"/>
      <c r="U78" s="47"/>
    </row>
    <row r="79" spans="14:21">
      <c r="N79" s="99"/>
      <c r="O79" s="99"/>
      <c r="P79" s="56"/>
      <c r="Q79" s="138"/>
      <c r="R79" s="138"/>
      <c r="S79" s="56"/>
      <c r="T79" s="47"/>
      <c r="U79" s="47"/>
    </row>
    <row r="80" spans="14:21">
      <c r="N80" s="99"/>
      <c r="O80" s="99"/>
      <c r="P80" s="56"/>
      <c r="Q80" s="56"/>
      <c r="R80" s="56"/>
      <c r="S80" s="56"/>
      <c r="T80" s="47"/>
      <c r="U80" s="47"/>
    </row>
    <row r="81" spans="14:21">
      <c r="N81" s="99"/>
      <c r="O81" s="99"/>
      <c r="P81" s="56"/>
      <c r="Q81" s="138"/>
      <c r="R81" s="138"/>
      <c r="S81" s="138"/>
      <c r="T81" s="47"/>
      <c r="U81" s="47"/>
    </row>
    <row r="82" spans="14:21">
      <c r="N82" s="99"/>
      <c r="O82" s="99"/>
      <c r="P82" s="56"/>
      <c r="Q82" s="138"/>
      <c r="R82" s="56"/>
      <c r="S82" s="56"/>
      <c r="T82" s="47"/>
      <c r="U82" s="47"/>
    </row>
    <row r="83" spans="14:21">
      <c r="N83" s="99"/>
      <c r="O83" s="99"/>
      <c r="P83" s="56"/>
      <c r="Q83" s="138"/>
      <c r="R83" s="56"/>
      <c r="S83" s="56"/>
      <c r="T83" s="47"/>
      <c r="U83" s="47"/>
    </row>
    <row r="84" spans="14:21">
      <c r="N84" s="99"/>
      <c r="O84" s="99"/>
      <c r="P84" s="56"/>
      <c r="Q84" s="56"/>
      <c r="R84" s="56"/>
      <c r="S84" s="56"/>
      <c r="T84" s="47"/>
      <c r="U84" s="47"/>
    </row>
    <row r="85" spans="14:21">
      <c r="N85" s="99"/>
      <c r="O85" s="99"/>
      <c r="P85" s="56"/>
      <c r="Q85" s="56"/>
      <c r="R85" s="56"/>
      <c r="S85" s="56"/>
      <c r="T85" s="47"/>
      <c r="U85" s="47"/>
    </row>
    <row r="86" spans="14:21">
      <c r="N86" s="99"/>
      <c r="O86" s="99"/>
      <c r="P86" s="56"/>
      <c r="Q86" s="138"/>
      <c r="R86" s="138"/>
      <c r="S86" s="56"/>
      <c r="T86" s="47"/>
      <c r="U86" s="47"/>
    </row>
    <row r="87" spans="14:21">
      <c r="N87" s="99"/>
      <c r="O87" s="99"/>
      <c r="P87" s="56"/>
      <c r="Q87" s="138"/>
      <c r="R87" s="138"/>
      <c r="S87" s="56"/>
      <c r="T87" s="47"/>
      <c r="U87" s="47"/>
    </row>
    <row r="88" spans="14:21">
      <c r="N88" s="99"/>
      <c r="O88" s="99"/>
      <c r="P88" s="56"/>
      <c r="Q88" s="138"/>
      <c r="R88" s="138"/>
      <c r="S88" s="56"/>
      <c r="T88" s="47"/>
      <c r="U88" s="47"/>
    </row>
    <row r="89" spans="14:21">
      <c r="N89" s="99"/>
      <c r="O89" s="99"/>
      <c r="P89" s="56"/>
      <c r="Q89" s="138"/>
      <c r="R89" s="56"/>
      <c r="S89" s="56"/>
      <c r="T89" s="47"/>
      <c r="U89" s="47"/>
    </row>
    <row r="90" spans="14:21">
      <c r="N90" s="99"/>
      <c r="O90" s="99"/>
      <c r="P90" s="56"/>
      <c r="Q90" s="56"/>
      <c r="R90" s="56"/>
      <c r="S90" s="56"/>
      <c r="T90" s="47"/>
      <c r="U90" s="47"/>
    </row>
    <row r="91" spans="14:21">
      <c r="N91" s="99"/>
      <c r="O91" s="99"/>
      <c r="P91" s="56"/>
      <c r="Q91" s="56"/>
      <c r="R91" s="56"/>
      <c r="S91" s="56"/>
      <c r="T91" s="47"/>
      <c r="U91" s="47"/>
    </row>
    <row r="92" spans="14:21">
      <c r="N92" s="99"/>
      <c r="O92" s="99"/>
      <c r="P92" s="56"/>
      <c r="Q92" s="56"/>
      <c r="R92" s="56"/>
      <c r="S92" s="56"/>
      <c r="T92" s="47"/>
      <c r="U92" s="47"/>
    </row>
    <row r="93" spans="14:21">
      <c r="N93" s="99"/>
      <c r="O93" s="99"/>
      <c r="P93" s="56"/>
      <c r="Q93" s="56"/>
      <c r="R93" s="138"/>
      <c r="S93" s="56"/>
      <c r="T93" s="47"/>
      <c r="U93" s="47"/>
    </row>
    <row r="94" spans="14:21">
      <c r="N94" s="99"/>
      <c r="O94" s="99"/>
      <c r="P94" s="56"/>
      <c r="Q94" s="138"/>
      <c r="R94" s="138"/>
      <c r="S94" s="56"/>
      <c r="T94" s="47"/>
      <c r="U94" s="47"/>
    </row>
    <row r="95" spans="14:21">
      <c r="N95" s="99"/>
      <c r="O95" s="99"/>
      <c r="P95" s="56"/>
      <c r="Q95" s="138"/>
      <c r="R95" s="138"/>
      <c r="S95" s="56"/>
      <c r="T95" s="47"/>
      <c r="U95" s="47"/>
    </row>
    <row r="96" spans="14:21">
      <c r="N96" s="99"/>
      <c r="O96" s="99"/>
      <c r="P96" s="56"/>
      <c r="Q96" s="138"/>
      <c r="R96" s="138"/>
      <c r="S96" s="56"/>
      <c r="T96" s="47"/>
      <c r="U96" s="47"/>
    </row>
    <row r="97" spans="14:21">
      <c r="N97" s="99"/>
      <c r="O97" s="99"/>
      <c r="P97" s="56"/>
      <c r="Q97" s="138"/>
      <c r="R97" s="138"/>
      <c r="S97" s="56"/>
      <c r="T97" s="47"/>
      <c r="U97" s="47"/>
    </row>
    <row r="98" spans="14:21">
      <c r="N98" s="99"/>
      <c r="O98" s="99"/>
      <c r="P98" s="56"/>
      <c r="Q98" s="138"/>
      <c r="R98" s="138"/>
      <c r="S98" s="56"/>
      <c r="T98" s="47"/>
      <c r="U98" s="47"/>
    </row>
    <row r="99" spans="14:21">
      <c r="N99" s="99"/>
      <c r="O99" s="99"/>
      <c r="P99" s="56"/>
      <c r="Q99" s="138"/>
      <c r="R99" s="56"/>
      <c r="S99" s="56"/>
      <c r="T99" s="47"/>
      <c r="U99" s="47"/>
    </row>
    <row r="100" spans="14:21">
      <c r="N100" s="99"/>
      <c r="O100" s="99"/>
      <c r="P100" s="56"/>
      <c r="Q100" s="56"/>
      <c r="R100" s="56"/>
      <c r="S100" s="56"/>
      <c r="T100" s="47"/>
      <c r="U100" s="47"/>
    </row>
    <row r="101" spans="14:21">
      <c r="N101" s="99"/>
      <c r="O101" s="99"/>
      <c r="P101" s="56"/>
      <c r="Q101" s="138"/>
      <c r="R101" s="56"/>
      <c r="S101" s="56"/>
      <c r="T101" s="47"/>
      <c r="U101" s="47"/>
    </row>
    <row r="102" spans="14:21">
      <c r="N102" s="99"/>
      <c r="O102" s="99"/>
      <c r="P102" s="56"/>
      <c r="Q102" s="56"/>
      <c r="R102" s="56"/>
      <c r="S102" s="56"/>
      <c r="T102" s="47"/>
      <c r="U102" s="47"/>
    </row>
    <row r="103" spans="14:21">
      <c r="N103" s="99"/>
      <c r="O103" s="99"/>
      <c r="P103" s="56"/>
      <c r="Q103" s="138"/>
      <c r="R103" s="138"/>
      <c r="S103" s="56"/>
      <c r="T103" s="47"/>
      <c r="U103" s="47"/>
    </row>
    <row r="104" spans="14:21">
      <c r="N104" s="99"/>
      <c r="O104" s="99"/>
      <c r="P104" s="56"/>
      <c r="Q104" s="138"/>
      <c r="R104" s="138"/>
      <c r="S104" s="56"/>
      <c r="T104" s="47"/>
      <c r="U104" s="47"/>
    </row>
    <row r="105" spans="14:21">
      <c r="N105" s="99"/>
      <c r="O105" s="99"/>
      <c r="P105" s="56"/>
      <c r="Q105" s="138"/>
      <c r="R105" s="138"/>
      <c r="S105" s="56"/>
      <c r="T105" s="47"/>
      <c r="U105" s="47"/>
    </row>
    <row r="106" spans="14:21">
      <c r="N106" s="99"/>
      <c r="O106" s="99"/>
      <c r="P106" s="56"/>
      <c r="Q106" s="138"/>
      <c r="R106" s="138"/>
      <c r="S106" s="138"/>
      <c r="T106" s="47"/>
      <c r="U106" s="47"/>
    </row>
    <row r="107" spans="14:21">
      <c r="N107" s="99"/>
      <c r="O107" s="99"/>
      <c r="P107" s="56"/>
      <c r="Q107" s="138"/>
      <c r="R107" s="138"/>
      <c r="S107" s="56"/>
      <c r="T107" s="47"/>
      <c r="U107" s="47"/>
    </row>
    <row r="108" spans="14:21">
      <c r="N108" s="99"/>
      <c r="O108" s="99"/>
      <c r="P108" s="56"/>
      <c r="Q108" s="138"/>
      <c r="R108" s="138"/>
      <c r="S108" s="56"/>
      <c r="T108" s="47"/>
      <c r="U108" s="47"/>
    </row>
    <row r="109" spans="14:21">
      <c r="N109" s="99"/>
      <c r="O109" s="99"/>
      <c r="P109" s="56"/>
      <c r="Q109" s="138"/>
      <c r="R109" s="138"/>
      <c r="S109" s="56"/>
      <c r="T109" s="47"/>
      <c r="U109" s="47"/>
    </row>
    <row r="110" spans="14:21">
      <c r="N110" s="99"/>
      <c r="O110" s="99"/>
      <c r="P110" s="56"/>
      <c r="Q110" s="138"/>
      <c r="R110" s="138"/>
      <c r="S110" s="56"/>
      <c r="T110" s="47"/>
      <c r="U110" s="47"/>
    </row>
    <row r="111" spans="14:21">
      <c r="N111" s="99"/>
      <c r="O111" s="99"/>
      <c r="P111" s="56"/>
      <c r="Q111" s="138"/>
      <c r="R111" s="138"/>
      <c r="S111" s="138"/>
      <c r="T111" s="47"/>
      <c r="U111" s="47"/>
    </row>
    <row r="112" spans="14:21">
      <c r="N112" s="99"/>
      <c r="O112" s="99"/>
      <c r="P112" s="56"/>
      <c r="Q112" s="138"/>
      <c r="R112" s="138"/>
      <c r="S112" s="138"/>
      <c r="T112" s="47"/>
      <c r="U112" s="47"/>
    </row>
    <row r="113" spans="14:21">
      <c r="N113" s="99"/>
      <c r="O113" s="99"/>
      <c r="P113" s="56"/>
      <c r="Q113" s="138"/>
      <c r="R113" s="138"/>
      <c r="S113" s="138"/>
      <c r="T113" s="47"/>
      <c r="U113" s="47"/>
    </row>
    <row r="114" spans="14:21">
      <c r="N114" s="99"/>
      <c r="O114" s="99"/>
      <c r="P114" s="56"/>
      <c r="Q114" s="138"/>
      <c r="R114" s="138"/>
      <c r="S114" s="138"/>
      <c r="T114" s="47"/>
      <c r="U114" s="47"/>
    </row>
    <row r="115" spans="14:21">
      <c r="N115" s="99"/>
      <c r="O115" s="99"/>
      <c r="P115" s="56"/>
      <c r="Q115" s="138"/>
      <c r="R115" s="138"/>
      <c r="S115" s="138"/>
      <c r="T115" s="47"/>
      <c r="U115" s="47"/>
    </row>
    <row r="116" spans="14:21">
      <c r="N116" s="99"/>
      <c r="O116" s="99"/>
      <c r="P116" s="56"/>
      <c r="Q116" s="138"/>
      <c r="R116" s="138"/>
      <c r="S116" s="138"/>
      <c r="T116" s="47"/>
      <c r="U116" s="47"/>
    </row>
    <row r="117" spans="14:21">
      <c r="N117" s="99"/>
      <c r="O117" s="99"/>
      <c r="P117" s="56"/>
      <c r="Q117" s="138"/>
      <c r="R117" s="138"/>
      <c r="S117" s="138"/>
      <c r="T117" s="47"/>
      <c r="U117" s="47"/>
    </row>
    <row r="118" spans="14:21">
      <c r="N118" s="99"/>
      <c r="O118" s="99"/>
      <c r="P118" s="56"/>
      <c r="Q118" s="138"/>
      <c r="R118" s="138"/>
      <c r="S118" s="138"/>
      <c r="T118" s="47"/>
      <c r="U118" s="47"/>
    </row>
    <row r="119" spans="14:21">
      <c r="N119" s="99"/>
      <c r="O119" s="99"/>
      <c r="P119" s="56"/>
      <c r="Q119" s="138"/>
      <c r="R119" s="138"/>
      <c r="S119" s="138"/>
      <c r="T119" s="47"/>
      <c r="U119" s="47"/>
    </row>
    <row r="120" spans="14:21">
      <c r="N120" s="99"/>
      <c r="O120" s="99"/>
      <c r="P120" s="56"/>
      <c r="Q120" s="138"/>
      <c r="R120" s="138"/>
      <c r="S120" s="138"/>
      <c r="T120" s="47"/>
      <c r="U120" s="47"/>
    </row>
    <row r="121" spans="14:21">
      <c r="N121" s="99"/>
      <c r="O121" s="99"/>
      <c r="P121" s="56"/>
      <c r="Q121" s="138"/>
      <c r="R121" s="138"/>
      <c r="S121" s="138"/>
      <c r="T121" s="47"/>
      <c r="U121" s="47"/>
    </row>
    <row r="122" spans="14:21">
      <c r="N122" s="99"/>
      <c r="O122" s="99"/>
      <c r="P122" s="56"/>
      <c r="Q122" s="138"/>
      <c r="R122" s="138"/>
      <c r="S122" s="138"/>
      <c r="T122" s="47"/>
      <c r="U122" s="47"/>
    </row>
    <row r="123" spans="14:21">
      <c r="N123" s="99"/>
      <c r="O123" s="99"/>
      <c r="P123" s="56"/>
      <c r="Q123" s="138"/>
      <c r="R123" s="138"/>
      <c r="S123" s="138"/>
      <c r="T123" s="47"/>
      <c r="U123" s="47"/>
    </row>
    <row r="124" spans="14:21">
      <c r="N124" s="99"/>
      <c r="O124" s="99"/>
      <c r="P124" s="56"/>
      <c r="Q124" s="138"/>
      <c r="R124" s="138"/>
      <c r="S124" s="138"/>
      <c r="T124" s="47"/>
      <c r="U124" s="47"/>
    </row>
    <row r="125" spans="14:21">
      <c r="N125" s="99"/>
      <c r="O125" s="99"/>
      <c r="P125" s="56"/>
      <c r="Q125" s="138"/>
      <c r="R125" s="138"/>
      <c r="S125" s="138"/>
      <c r="T125" s="47"/>
      <c r="U125" s="47"/>
    </row>
    <row r="126" spans="14:21">
      <c r="N126" s="99"/>
      <c r="O126" s="99"/>
      <c r="P126" s="56"/>
      <c r="Q126" s="56"/>
      <c r="R126" s="56"/>
      <c r="S126" s="56"/>
      <c r="T126" s="47"/>
      <c r="U126" s="47"/>
    </row>
    <row r="127" spans="14:21">
      <c r="N127" s="99"/>
      <c r="O127" s="99"/>
      <c r="P127" s="56"/>
      <c r="Q127" s="56"/>
      <c r="R127" s="56"/>
      <c r="S127" s="56"/>
      <c r="T127" s="47"/>
      <c r="U127" s="47"/>
    </row>
    <row r="128" spans="14:21">
      <c r="N128" s="99"/>
      <c r="O128" s="99"/>
      <c r="P128" s="56"/>
      <c r="Q128" s="56"/>
      <c r="R128" s="56"/>
      <c r="S128" s="56"/>
      <c r="T128" s="47"/>
      <c r="U128" s="47"/>
    </row>
    <row r="129" spans="14:21">
      <c r="N129" s="99"/>
      <c r="O129" s="99"/>
      <c r="P129" s="56"/>
      <c r="Q129" s="56"/>
      <c r="R129" s="56"/>
      <c r="S129" s="56"/>
      <c r="T129" s="47"/>
      <c r="U129" s="47"/>
    </row>
    <row r="130" spans="14:21">
      <c r="N130" s="99"/>
      <c r="O130" s="99"/>
      <c r="P130" s="56"/>
      <c r="Q130" s="56"/>
      <c r="R130" s="56"/>
      <c r="S130" s="56"/>
      <c r="T130" s="47"/>
      <c r="U130" s="47"/>
    </row>
    <row r="131" spans="14:21">
      <c r="N131" s="99"/>
      <c r="O131" s="99"/>
      <c r="P131" s="56"/>
      <c r="Q131" s="56"/>
      <c r="R131" s="56"/>
      <c r="S131" s="56"/>
      <c r="T131" s="47"/>
      <c r="U131" s="47"/>
    </row>
    <row r="132" spans="14:21">
      <c r="N132" s="99"/>
      <c r="O132" s="99"/>
      <c r="P132" s="56"/>
      <c r="Q132" s="56"/>
      <c r="R132" s="56"/>
      <c r="S132" s="56"/>
      <c r="T132" s="47"/>
      <c r="U132" s="47"/>
    </row>
    <row r="133" spans="14:21">
      <c r="N133" s="99"/>
      <c r="O133" s="99"/>
      <c r="P133" s="56"/>
      <c r="Q133" s="56"/>
      <c r="R133" s="56"/>
      <c r="S133" s="56"/>
      <c r="T133" s="47"/>
      <c r="U133" s="47"/>
    </row>
    <row r="134" spans="14:21">
      <c r="N134" s="99"/>
      <c r="O134" s="99"/>
      <c r="P134" s="56"/>
      <c r="Q134" s="56"/>
      <c r="R134" s="56"/>
      <c r="S134" s="56"/>
      <c r="T134" s="47"/>
      <c r="U134" s="47"/>
    </row>
    <row r="135" spans="14:21">
      <c r="N135" s="99"/>
      <c r="O135" s="99"/>
      <c r="P135" s="56"/>
      <c r="Q135" s="56"/>
      <c r="R135" s="56"/>
      <c r="S135" s="56"/>
      <c r="T135" s="47"/>
      <c r="U135" s="47"/>
    </row>
    <row r="136" spans="14:21">
      <c r="N136" s="99"/>
      <c r="O136" s="99"/>
      <c r="P136" s="56"/>
      <c r="Q136" s="56"/>
      <c r="R136" s="56"/>
      <c r="S136" s="56"/>
      <c r="T136" s="47"/>
      <c r="U136" s="47"/>
    </row>
    <row r="137" spans="14:21">
      <c r="N137" s="99"/>
      <c r="O137" s="99"/>
      <c r="P137" s="56"/>
      <c r="Q137" s="56"/>
      <c r="R137" s="56"/>
      <c r="S137" s="56"/>
      <c r="T137" s="47"/>
      <c r="U137" s="47"/>
    </row>
    <row r="138" spans="14:21">
      <c r="N138" s="99"/>
      <c r="O138" s="99"/>
      <c r="P138" s="56"/>
      <c r="Q138" s="56"/>
      <c r="R138" s="56"/>
      <c r="S138" s="56"/>
      <c r="T138" s="47"/>
      <c r="U138" s="47"/>
    </row>
    <row r="139" spans="14:21">
      <c r="N139" s="99"/>
      <c r="O139" s="99"/>
      <c r="P139" s="56"/>
      <c r="Q139" s="56"/>
      <c r="R139" s="56"/>
      <c r="S139" s="56"/>
      <c r="T139" s="47"/>
      <c r="U139" s="47"/>
    </row>
    <row r="140" spans="14:21">
      <c r="N140" s="99"/>
      <c r="O140" s="99"/>
      <c r="P140" s="56"/>
      <c r="Q140" s="56"/>
      <c r="R140" s="56"/>
      <c r="S140" s="56"/>
      <c r="T140" s="47"/>
      <c r="U140" s="47"/>
    </row>
    <row r="141" spans="14:21">
      <c r="N141" s="99"/>
      <c r="O141" s="99"/>
      <c r="P141" s="56"/>
      <c r="Q141" s="56"/>
      <c r="R141" s="56"/>
      <c r="S141" s="56"/>
      <c r="T141" s="47"/>
      <c r="U141" s="47"/>
    </row>
    <row r="142" spans="14:21">
      <c r="N142" s="99"/>
      <c r="O142" s="99"/>
      <c r="P142" s="56"/>
      <c r="Q142" s="56"/>
      <c r="R142" s="56"/>
      <c r="S142" s="56"/>
      <c r="T142" s="47"/>
      <c r="U142" s="47"/>
    </row>
    <row r="143" spans="14:21">
      <c r="N143" s="99"/>
      <c r="O143" s="99"/>
      <c r="P143" s="56"/>
      <c r="Q143" s="56"/>
      <c r="R143" s="56"/>
      <c r="S143" s="56"/>
      <c r="T143" s="47"/>
      <c r="U143" s="47"/>
    </row>
    <row r="144" spans="14:21">
      <c r="N144" s="99"/>
      <c r="O144" s="99"/>
      <c r="P144" s="56"/>
      <c r="Q144" s="56"/>
      <c r="R144" s="56"/>
      <c r="S144" s="56"/>
      <c r="T144" s="47"/>
      <c r="U144" s="47"/>
    </row>
    <row r="145" spans="14:21">
      <c r="N145" s="99"/>
      <c r="O145" s="99"/>
      <c r="P145" s="56"/>
      <c r="Q145" s="56"/>
      <c r="R145" s="56"/>
      <c r="S145" s="56"/>
      <c r="T145" s="47"/>
      <c r="U145" s="47"/>
    </row>
    <row r="146" spans="14:21">
      <c r="N146" s="99"/>
      <c r="O146" s="99"/>
      <c r="P146" s="56"/>
      <c r="Q146" s="56"/>
      <c r="R146" s="56"/>
      <c r="S146" s="56"/>
      <c r="T146" s="47"/>
      <c r="U146" s="47"/>
    </row>
    <row r="147" spans="14:21">
      <c r="N147" s="99"/>
      <c r="O147" s="99"/>
      <c r="P147" s="56"/>
      <c r="Q147" s="56"/>
      <c r="R147" s="56"/>
      <c r="S147" s="56"/>
      <c r="T147" s="47"/>
      <c r="U147" s="47"/>
    </row>
    <row r="148" spans="14:21">
      <c r="N148" s="99"/>
      <c r="O148" s="99"/>
      <c r="P148" s="56"/>
      <c r="Q148" s="56"/>
      <c r="R148" s="56"/>
      <c r="S148" s="56"/>
      <c r="T148" s="47"/>
      <c r="U148" s="47"/>
    </row>
    <row r="149" spans="14:21">
      <c r="N149" s="99"/>
      <c r="O149" s="99"/>
      <c r="P149" s="56"/>
      <c r="Q149" s="56"/>
      <c r="R149" s="56"/>
      <c r="S149" s="56"/>
      <c r="T149" s="47"/>
      <c r="U149" s="47"/>
    </row>
    <row r="150" spans="14:21">
      <c r="N150" s="99"/>
      <c r="O150" s="99"/>
      <c r="P150" s="56"/>
      <c r="Q150" s="56"/>
      <c r="R150" s="56"/>
      <c r="S150" s="56"/>
      <c r="T150" s="47"/>
      <c r="U150" s="47"/>
    </row>
    <row r="151" spans="14:21">
      <c r="N151" s="99"/>
      <c r="O151" s="99"/>
      <c r="P151" s="56"/>
      <c r="Q151" s="56"/>
      <c r="R151" s="56"/>
      <c r="S151" s="56"/>
      <c r="T151" s="47"/>
      <c r="U151" s="47"/>
    </row>
    <row r="152" spans="14:21">
      <c r="N152" s="99"/>
      <c r="O152" s="99"/>
      <c r="P152" s="56"/>
      <c r="Q152" s="56"/>
      <c r="R152" s="56"/>
      <c r="S152" s="56"/>
      <c r="T152" s="47"/>
      <c r="U152" s="47"/>
    </row>
    <row r="153" spans="14:21">
      <c r="N153" s="99"/>
      <c r="O153" s="99"/>
      <c r="P153" s="56"/>
      <c r="Q153" s="56"/>
      <c r="R153" s="56"/>
      <c r="S153" s="56"/>
      <c r="T153" s="47"/>
      <c r="U153" s="47"/>
    </row>
    <row r="154" spans="14:21">
      <c r="N154" s="99"/>
      <c r="O154" s="99"/>
      <c r="P154" s="56"/>
      <c r="Q154" s="56"/>
      <c r="R154" s="56"/>
      <c r="S154" s="56"/>
      <c r="T154" s="47"/>
      <c r="U154" s="47"/>
    </row>
    <row r="155" spans="14:21">
      <c r="N155" s="99"/>
      <c r="O155" s="99"/>
      <c r="P155" s="56"/>
      <c r="Q155" s="56"/>
      <c r="R155" s="56"/>
      <c r="S155" s="56"/>
      <c r="T155" s="47"/>
      <c r="U155" s="47"/>
    </row>
    <row r="156" spans="14:21">
      <c r="N156" s="99"/>
      <c r="O156" s="99"/>
      <c r="P156" s="56"/>
      <c r="Q156" s="138"/>
      <c r="R156" s="138"/>
      <c r="S156" s="56"/>
      <c r="T156" s="47"/>
      <c r="U156" s="47"/>
    </row>
    <row r="157" spans="14:21">
      <c r="N157" s="99"/>
      <c r="O157" s="99"/>
      <c r="P157" s="56"/>
      <c r="Q157" s="138"/>
      <c r="R157" s="138"/>
      <c r="S157" s="56"/>
      <c r="T157" s="47"/>
      <c r="U157" s="47"/>
    </row>
    <row r="158" spans="14:21">
      <c r="N158" s="99"/>
      <c r="O158" s="99"/>
      <c r="P158" s="56"/>
      <c r="Q158" s="138"/>
      <c r="R158" s="138"/>
      <c r="S158" s="56"/>
      <c r="T158" s="47"/>
      <c r="U158" s="47"/>
    </row>
    <row r="159" spans="14:21">
      <c r="N159" s="99"/>
      <c r="O159" s="99"/>
      <c r="P159" s="56"/>
      <c r="Q159" s="138"/>
      <c r="R159" s="138"/>
      <c r="S159" s="56"/>
      <c r="T159" s="47"/>
      <c r="U159" s="47"/>
    </row>
    <row r="160" spans="14:21">
      <c r="N160" s="99"/>
      <c r="O160" s="99"/>
      <c r="P160" s="56"/>
      <c r="Q160" s="138"/>
      <c r="R160" s="138"/>
      <c r="S160" s="56"/>
      <c r="T160" s="47"/>
      <c r="U160" s="47"/>
    </row>
    <row r="161" spans="14:21">
      <c r="N161" s="99"/>
      <c r="O161" s="99"/>
      <c r="P161" s="56"/>
      <c r="Q161" s="138"/>
      <c r="R161" s="138"/>
      <c r="S161" s="56"/>
      <c r="T161" s="47"/>
      <c r="U161" s="47"/>
    </row>
    <row r="162" spans="14:21">
      <c r="N162" s="99"/>
      <c r="O162" s="99"/>
      <c r="P162" s="56"/>
      <c r="Q162" s="56"/>
      <c r="R162" s="56"/>
      <c r="S162" s="56"/>
      <c r="T162" s="47"/>
      <c r="U162" s="47"/>
    </row>
    <row r="163" spans="14:21">
      <c r="N163" s="99"/>
      <c r="O163" s="99"/>
      <c r="P163" s="56"/>
      <c r="Q163" s="56"/>
      <c r="R163" s="56"/>
      <c r="S163" s="56"/>
      <c r="T163" s="47"/>
      <c r="U163" s="47"/>
    </row>
    <row r="164" spans="14:21">
      <c r="N164" s="99"/>
      <c r="O164" s="99"/>
      <c r="P164" s="56"/>
      <c r="Q164" s="56"/>
      <c r="R164" s="56"/>
      <c r="S164" s="56"/>
      <c r="T164" s="47"/>
      <c r="U164" s="47"/>
    </row>
    <row r="165" spans="14:21">
      <c r="N165" s="99"/>
      <c r="O165" s="99"/>
      <c r="P165" s="56"/>
      <c r="Q165" s="56"/>
      <c r="R165" s="56"/>
      <c r="S165" s="56"/>
      <c r="T165" s="47"/>
      <c r="U165" s="47"/>
    </row>
    <row r="166" spans="14:21">
      <c r="N166" s="99"/>
      <c r="O166" s="99"/>
      <c r="P166" s="56"/>
      <c r="Q166" s="56"/>
      <c r="R166" s="56"/>
      <c r="S166" s="56"/>
      <c r="T166" s="47"/>
      <c r="U166" s="47"/>
    </row>
    <row r="167" spans="14:21">
      <c r="N167" s="99"/>
      <c r="O167" s="99"/>
      <c r="P167" s="56"/>
      <c r="Q167" s="56"/>
      <c r="R167" s="56"/>
      <c r="S167" s="56"/>
      <c r="T167" s="47"/>
      <c r="U167" s="47"/>
    </row>
    <row r="168" spans="14:21">
      <c r="N168" s="99"/>
      <c r="O168" s="99"/>
      <c r="P168" s="56"/>
      <c r="Q168" s="56"/>
      <c r="R168" s="56"/>
      <c r="S168" s="56"/>
      <c r="T168" s="47"/>
      <c r="U168" s="47"/>
    </row>
    <row r="169" spans="14:21">
      <c r="N169" s="99"/>
      <c r="O169" s="99"/>
      <c r="P169" s="56"/>
      <c r="Q169" s="56"/>
      <c r="R169" s="56"/>
      <c r="S169" s="56"/>
      <c r="T169" s="47"/>
      <c r="U169" s="47"/>
    </row>
    <row r="170" spans="14:21">
      <c r="N170" s="99"/>
      <c r="O170" s="99"/>
      <c r="P170" s="56"/>
      <c r="Q170" s="56"/>
      <c r="R170" s="56"/>
      <c r="S170" s="56"/>
      <c r="T170" s="47"/>
      <c r="U170" s="47"/>
    </row>
    <row r="171" spans="14:21">
      <c r="N171" s="99"/>
      <c r="O171" s="99"/>
      <c r="P171" s="56"/>
      <c r="Q171" s="56"/>
      <c r="R171" s="56"/>
      <c r="S171" s="56"/>
      <c r="T171" s="47"/>
      <c r="U171" s="47"/>
    </row>
    <row r="172" spans="14:21">
      <c r="N172" s="99"/>
      <c r="O172" s="99"/>
      <c r="P172" s="56"/>
      <c r="Q172" s="56"/>
      <c r="R172" s="56"/>
      <c r="S172" s="56"/>
      <c r="T172" s="47"/>
      <c r="U172" s="47"/>
    </row>
    <row r="173" spans="14:21">
      <c r="P173" s="47"/>
      <c r="Q173" s="56"/>
      <c r="R173" s="56"/>
      <c r="S173" s="56"/>
      <c r="T173" s="47"/>
      <c r="U173" s="47"/>
    </row>
  </sheetData>
  <mergeCells count="180">
    <mergeCell ref="BN5:BO5"/>
    <mergeCell ref="A6:B6"/>
    <mergeCell ref="N6:O6"/>
    <mergeCell ref="AA6:AB6"/>
    <mergeCell ref="AN6:AO6"/>
    <mergeCell ref="BA6:BB6"/>
    <mergeCell ref="BN6:BO6"/>
    <mergeCell ref="BN9:BY9"/>
    <mergeCell ref="A11:L11"/>
    <mergeCell ref="N11:Y11"/>
    <mergeCell ref="AA11:AL11"/>
    <mergeCell ref="AN11:AY11"/>
    <mergeCell ref="BA11:BL11"/>
    <mergeCell ref="BN11:BY11"/>
    <mergeCell ref="A7:B7"/>
    <mergeCell ref="N7:O7"/>
    <mergeCell ref="AA7:AB7"/>
    <mergeCell ref="AN7:AO7"/>
    <mergeCell ref="BA7:BB7"/>
    <mergeCell ref="BN7:BO7"/>
    <mergeCell ref="A8:B8"/>
    <mergeCell ref="N8:O8"/>
    <mergeCell ref="AA8:AB8"/>
    <mergeCell ref="AN8:AO8"/>
    <mergeCell ref="BA8:BB8"/>
    <mergeCell ref="BN8:BO8"/>
    <mergeCell ref="BU13:BW13"/>
    <mergeCell ref="A18:B18"/>
    <mergeCell ref="C18:F18"/>
    <mergeCell ref="G18:I18"/>
    <mergeCell ref="J18:L18"/>
    <mergeCell ref="L13:L14"/>
    <mergeCell ref="Y13:Y14"/>
    <mergeCell ref="AL13:AL14"/>
    <mergeCell ref="AY13:AY14"/>
    <mergeCell ref="BL13:BL14"/>
    <mergeCell ref="BK13:BK14"/>
    <mergeCell ref="BH13:BJ13"/>
    <mergeCell ref="BA9:BL9"/>
    <mergeCell ref="BG13:BG14"/>
    <mergeCell ref="A19:B19"/>
    <mergeCell ref="C19:F19"/>
    <mergeCell ref="G19:I19"/>
    <mergeCell ref="J19:L19"/>
    <mergeCell ref="A20:B20"/>
    <mergeCell ref="C20:F20"/>
    <mergeCell ref="G20:I20"/>
    <mergeCell ref="J20:L20"/>
    <mergeCell ref="BN30:BO30"/>
    <mergeCell ref="BP30:BS30"/>
    <mergeCell ref="BT30:BV30"/>
    <mergeCell ref="BW30:BY30"/>
    <mergeCell ref="BN31:BO31"/>
    <mergeCell ref="BP31:BS31"/>
    <mergeCell ref="BT31:BV31"/>
    <mergeCell ref="BW31:BY31"/>
    <mergeCell ref="BN32:BO32"/>
    <mergeCell ref="BP32:BS32"/>
    <mergeCell ref="BT32:BV32"/>
    <mergeCell ref="BW32:BY32"/>
    <mergeCell ref="AA39:AB39"/>
    <mergeCell ref="AC39:AF39"/>
    <mergeCell ref="AG39:AI39"/>
    <mergeCell ref="AJ39:AL39"/>
    <mergeCell ref="AA40:AB40"/>
    <mergeCell ref="AC40:AF40"/>
    <mergeCell ref="AG40:AI40"/>
    <mergeCell ref="AJ40:AL40"/>
    <mergeCell ref="AA41:AB41"/>
    <mergeCell ref="AC41:AF41"/>
    <mergeCell ref="AG41:AI41"/>
    <mergeCell ref="AJ41:AL41"/>
    <mergeCell ref="N46:O46"/>
    <mergeCell ref="P46:S46"/>
    <mergeCell ref="T46:V46"/>
    <mergeCell ref="W46:Y46"/>
    <mergeCell ref="N47:O47"/>
    <mergeCell ref="P47:S47"/>
    <mergeCell ref="T47:V47"/>
    <mergeCell ref="W47:Y47"/>
    <mergeCell ref="N48:O48"/>
    <mergeCell ref="P48:S48"/>
    <mergeCell ref="T48:V48"/>
    <mergeCell ref="W48:Y48"/>
    <mergeCell ref="BA55:BB55"/>
    <mergeCell ref="BC55:BF55"/>
    <mergeCell ref="BG55:BI55"/>
    <mergeCell ref="BJ55:BL55"/>
    <mergeCell ref="BA56:BB56"/>
    <mergeCell ref="BC56:BF56"/>
    <mergeCell ref="BG56:BI56"/>
    <mergeCell ref="BJ56:BL56"/>
    <mergeCell ref="BA57:BB57"/>
    <mergeCell ref="BC57:BF57"/>
    <mergeCell ref="BG57:BI57"/>
    <mergeCell ref="BJ57:BL57"/>
    <mergeCell ref="AN62:AO62"/>
    <mergeCell ref="AP62:AS62"/>
    <mergeCell ref="AT62:AV62"/>
    <mergeCell ref="AW62:AY62"/>
    <mergeCell ref="AN63:AO63"/>
    <mergeCell ref="AP63:AS63"/>
    <mergeCell ref="AT63:AV63"/>
    <mergeCell ref="AW63:AY63"/>
    <mergeCell ref="AN64:AO64"/>
    <mergeCell ref="AP64:AS64"/>
    <mergeCell ref="AT64:AV64"/>
    <mergeCell ref="AW64:AY64"/>
    <mergeCell ref="A1:A4"/>
    <mergeCell ref="A13:A14"/>
    <mergeCell ref="B13:B14"/>
    <mergeCell ref="C13:C14"/>
    <mergeCell ref="D13:D14"/>
    <mergeCell ref="E13:E14"/>
    <mergeCell ref="F13:F14"/>
    <mergeCell ref="G13:G14"/>
    <mergeCell ref="K13:K14"/>
    <mergeCell ref="H13:J13"/>
    <mergeCell ref="A9:L9"/>
    <mergeCell ref="A5:B5"/>
    <mergeCell ref="N1:N4"/>
    <mergeCell ref="N13:N14"/>
    <mergeCell ref="O13:O14"/>
    <mergeCell ref="P13:P14"/>
    <mergeCell ref="Q13:Q14"/>
    <mergeCell ref="R13:R14"/>
    <mergeCell ref="S13:S14"/>
    <mergeCell ref="T13:T14"/>
    <mergeCell ref="X13:X14"/>
    <mergeCell ref="U13:W13"/>
    <mergeCell ref="N9:Y9"/>
    <mergeCell ref="N5:O5"/>
    <mergeCell ref="AA1:AA4"/>
    <mergeCell ref="AA13:AA14"/>
    <mergeCell ref="AB13:AB14"/>
    <mergeCell ref="AC13:AC14"/>
    <mergeCell ref="AD13:AD14"/>
    <mergeCell ref="AE13:AE14"/>
    <mergeCell ref="AF13:AF14"/>
    <mergeCell ref="AG13:AG14"/>
    <mergeCell ref="AK13:AK14"/>
    <mergeCell ref="AH13:AJ13"/>
    <mergeCell ref="AA9:AL9"/>
    <mergeCell ref="AA5:AB5"/>
    <mergeCell ref="AN1:AN4"/>
    <mergeCell ref="AN13:AN14"/>
    <mergeCell ref="AO13:AO14"/>
    <mergeCell ref="AP13:AP14"/>
    <mergeCell ref="AQ13:AQ14"/>
    <mergeCell ref="AR13:AR14"/>
    <mergeCell ref="AS13:AS14"/>
    <mergeCell ref="AT13:AT14"/>
    <mergeCell ref="AX13:AX14"/>
    <mergeCell ref="AU13:AW13"/>
    <mergeCell ref="AN9:AY9"/>
    <mergeCell ref="AN5:AO5"/>
    <mergeCell ref="BA5:BB5"/>
    <mergeCell ref="BY13:BY14"/>
    <mergeCell ref="BO1:BU4"/>
    <mergeCell ref="BB1:BH4"/>
    <mergeCell ref="AO1:AU4"/>
    <mergeCell ref="AB1:AH4"/>
    <mergeCell ref="O1:U4"/>
    <mergeCell ref="B1:H4"/>
    <mergeCell ref="BN1:BN4"/>
    <mergeCell ref="BN13:BN14"/>
    <mergeCell ref="BO13:BO14"/>
    <mergeCell ref="BP13:BP14"/>
    <mergeCell ref="BQ13:BQ14"/>
    <mergeCell ref="BR13:BR14"/>
    <mergeCell ref="BS13:BS14"/>
    <mergeCell ref="BT13:BT14"/>
    <mergeCell ref="BX13:BX14"/>
    <mergeCell ref="BA1:BA4"/>
    <mergeCell ref="BA13:BA14"/>
    <mergeCell ref="BB13:BB14"/>
    <mergeCell ref="BC13:BC14"/>
    <mergeCell ref="BD13:BD14"/>
    <mergeCell ref="BE13:BE14"/>
    <mergeCell ref="BF13:BF14"/>
  </mergeCells>
  <pageMargins left="0.23622047244094499" right="0.23622047244094499" top="0.74803149606299202" bottom="0.74803149606299202" header="0.31496062992126" footer="0.31496062992126"/>
  <pageSetup paperSize="9" scale="75"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3"/>
  <sheetViews>
    <sheetView workbookViewId="0">
      <selection sqref="A1:L14"/>
    </sheetView>
  </sheetViews>
  <sheetFormatPr defaultColWidth="9" defaultRowHeight="15"/>
  <cols>
    <col min="1" max="1" width="12.28515625" customWidth="1"/>
    <col min="2" max="2" width="10.28515625" customWidth="1"/>
    <col min="4" max="4" width="11.28515625" customWidth="1"/>
    <col min="7" max="7" width="26" customWidth="1"/>
    <col min="8" max="8" width="20.28515625" customWidth="1"/>
    <col min="9" max="9" width="18.28515625" customWidth="1"/>
    <col min="10" max="10" width="11.7109375" customWidth="1"/>
  </cols>
  <sheetData>
    <row r="1" spans="1:12" ht="23.25">
      <c r="A1" s="206"/>
      <c r="B1" s="211" t="s">
        <v>44</v>
      </c>
      <c r="C1" s="212"/>
      <c r="D1" s="212"/>
      <c r="E1" s="212"/>
      <c r="F1" s="212"/>
      <c r="G1" s="212"/>
      <c r="H1" s="213"/>
      <c r="I1" s="2"/>
      <c r="J1" s="20"/>
      <c r="K1" s="20"/>
      <c r="L1" s="21"/>
    </row>
    <row r="2" spans="1:12" ht="23.25">
      <c r="A2" s="207"/>
      <c r="B2" s="214"/>
      <c r="C2" s="215"/>
      <c r="D2" s="215"/>
      <c r="E2" s="215"/>
      <c r="F2" s="215"/>
      <c r="G2" s="215"/>
      <c r="H2" s="216"/>
      <c r="I2" s="4"/>
      <c r="L2" s="22"/>
    </row>
    <row r="3" spans="1:12" ht="23.25">
      <c r="A3" s="207"/>
      <c r="B3" s="214"/>
      <c r="C3" s="215"/>
      <c r="D3" s="215"/>
      <c r="E3" s="215"/>
      <c r="F3" s="215"/>
      <c r="G3" s="215"/>
      <c r="H3" s="216"/>
      <c r="I3" s="4"/>
      <c r="L3" s="22"/>
    </row>
    <row r="4" spans="1:12" ht="23.25">
      <c r="A4" s="207"/>
      <c r="B4" s="214"/>
      <c r="C4" s="215"/>
      <c r="D4" s="215"/>
      <c r="E4" s="215"/>
      <c r="F4" s="215"/>
      <c r="G4" s="215"/>
      <c r="H4" s="216"/>
      <c r="I4" s="4"/>
      <c r="L4" s="22"/>
    </row>
    <row r="5" spans="1:12" ht="16.5">
      <c r="A5" s="223" t="s">
        <v>45</v>
      </c>
      <c r="B5" s="224"/>
      <c r="C5" s="7" t="s">
        <v>46</v>
      </c>
      <c r="D5" s="8"/>
      <c r="E5" s="8"/>
      <c r="F5" s="8"/>
      <c r="G5" s="8"/>
      <c r="H5" s="8"/>
      <c r="I5" s="8"/>
      <c r="J5" s="8"/>
      <c r="K5" s="8"/>
      <c r="L5" s="23"/>
    </row>
    <row r="6" spans="1:12" ht="16.5">
      <c r="A6" s="223" t="s">
        <v>48</v>
      </c>
      <c r="B6" s="224"/>
      <c r="C6" s="7" t="s">
        <v>49</v>
      </c>
      <c r="D6" s="8"/>
      <c r="E6" s="8"/>
      <c r="F6" s="8"/>
      <c r="G6" s="8"/>
      <c r="H6" s="8"/>
      <c r="I6" s="8"/>
      <c r="J6" s="8"/>
      <c r="K6" s="8"/>
      <c r="L6" s="23"/>
    </row>
    <row r="7" spans="1:12" ht="16.5">
      <c r="A7" s="225" t="s">
        <v>50</v>
      </c>
      <c r="B7" s="226"/>
      <c r="C7" s="7" t="s">
        <v>51</v>
      </c>
      <c r="D7" s="8"/>
      <c r="E7" s="8"/>
      <c r="F7" s="8"/>
      <c r="G7" s="8"/>
      <c r="H7" s="8"/>
      <c r="I7" s="8"/>
      <c r="J7" s="8"/>
      <c r="K7" s="8"/>
      <c r="L7" s="23"/>
    </row>
    <row r="8" spans="1:12" ht="16.5">
      <c r="A8" s="223" t="s">
        <v>52</v>
      </c>
      <c r="B8" s="224"/>
      <c r="C8" s="7" t="s">
        <v>53</v>
      </c>
      <c r="D8" s="8"/>
      <c r="E8" s="8"/>
      <c r="F8" s="8"/>
      <c r="G8" s="8"/>
      <c r="H8" s="8"/>
      <c r="I8" s="8"/>
      <c r="J8" s="8"/>
      <c r="K8" s="8"/>
      <c r="L8" s="23"/>
    </row>
    <row r="9" spans="1:12" ht="15.75">
      <c r="A9" s="227" t="s">
        <v>249</v>
      </c>
      <c r="B9" s="228"/>
      <c r="C9" s="228"/>
      <c r="D9" s="228"/>
      <c r="E9" s="228"/>
      <c r="F9" s="228"/>
      <c r="G9" s="228"/>
      <c r="H9" s="228"/>
      <c r="I9" s="228"/>
      <c r="J9" s="228"/>
      <c r="K9" s="228"/>
      <c r="L9" s="229"/>
    </row>
    <row r="10" spans="1:12" ht="15.75">
      <c r="A10" s="11" t="s">
        <v>55</v>
      </c>
      <c r="B10" s="12"/>
      <c r="C10" s="12"/>
      <c r="D10" s="12"/>
      <c r="E10" s="12"/>
      <c r="F10" s="12"/>
      <c r="G10" s="24" t="s">
        <v>56</v>
      </c>
      <c r="H10" s="25"/>
      <c r="I10" s="12"/>
      <c r="J10" s="12"/>
      <c r="K10" s="12"/>
      <c r="L10" s="26"/>
    </row>
    <row r="11" spans="1:12">
      <c r="A11" s="217"/>
      <c r="B11" s="218"/>
      <c r="C11" s="218"/>
      <c r="D11" s="218"/>
      <c r="E11" s="218"/>
      <c r="F11" s="218"/>
      <c r="G11" s="218"/>
      <c r="H11" s="218"/>
      <c r="I11" s="218"/>
      <c r="J11" s="218"/>
      <c r="K11" s="218"/>
      <c r="L11" s="219"/>
    </row>
    <row r="12" spans="1:12">
      <c r="A12" s="11" t="s">
        <v>103</v>
      </c>
      <c r="B12" s="106">
        <v>45007</v>
      </c>
      <c r="C12" s="73"/>
      <c r="D12" s="24"/>
      <c r="E12" s="74"/>
      <c r="F12" s="25"/>
      <c r="G12" s="24" t="s">
        <v>398</v>
      </c>
      <c r="I12" s="74"/>
      <c r="J12" s="74"/>
      <c r="K12" s="74"/>
      <c r="L12" s="80"/>
    </row>
    <row r="13" spans="1:12">
      <c r="A13" s="208" t="s">
        <v>59</v>
      </c>
      <c r="B13" s="209" t="s">
        <v>60</v>
      </c>
      <c r="C13" s="210" t="s">
        <v>61</v>
      </c>
      <c r="D13" s="210" t="s">
        <v>62</v>
      </c>
      <c r="E13" s="210" t="s">
        <v>63</v>
      </c>
      <c r="F13" s="210" t="s">
        <v>64</v>
      </c>
      <c r="G13" s="243" t="s">
        <v>65</v>
      </c>
      <c r="H13" s="220" t="s">
        <v>66</v>
      </c>
      <c r="I13" s="221"/>
      <c r="J13" s="222"/>
      <c r="K13" s="209" t="s">
        <v>30</v>
      </c>
      <c r="L13" s="244" t="s">
        <v>67</v>
      </c>
    </row>
    <row r="14" spans="1:12" ht="45">
      <c r="A14" s="208"/>
      <c r="B14" s="209"/>
      <c r="C14" s="210"/>
      <c r="D14" s="210"/>
      <c r="E14" s="210"/>
      <c r="F14" s="210"/>
      <c r="G14" s="243"/>
      <c r="H14" s="16" t="s">
        <v>68</v>
      </c>
      <c r="I14" s="62" t="s">
        <v>69</v>
      </c>
      <c r="J14" s="16" t="s">
        <v>70</v>
      </c>
      <c r="K14" s="209"/>
      <c r="L14" s="244"/>
    </row>
    <row r="15" spans="1:12">
      <c r="A15" s="132">
        <v>1</v>
      </c>
      <c r="B15" s="33" t="s">
        <v>71</v>
      </c>
      <c r="C15" s="33">
        <v>99.3</v>
      </c>
      <c r="D15" s="33" t="s">
        <v>145</v>
      </c>
      <c r="E15" s="33" t="s">
        <v>399</v>
      </c>
      <c r="F15" s="33">
        <v>296</v>
      </c>
      <c r="G15" s="33" t="s">
        <v>285</v>
      </c>
      <c r="H15" s="33" t="s">
        <v>400</v>
      </c>
      <c r="I15" s="33" t="s">
        <v>401</v>
      </c>
      <c r="J15" s="134">
        <v>0.16666666666666699</v>
      </c>
      <c r="K15" s="33"/>
      <c r="L15" s="135"/>
    </row>
    <row r="16" spans="1:12">
      <c r="A16" s="132">
        <f>1+A15</f>
        <v>2</v>
      </c>
      <c r="B16" s="33" t="s">
        <v>71</v>
      </c>
      <c r="C16" s="33">
        <v>99.3</v>
      </c>
      <c r="D16" s="33" t="s">
        <v>399</v>
      </c>
      <c r="E16" s="33" t="s">
        <v>402</v>
      </c>
      <c r="F16" s="33">
        <v>63</v>
      </c>
      <c r="G16" s="33" t="s">
        <v>285</v>
      </c>
      <c r="H16" s="33" t="s">
        <v>400</v>
      </c>
      <c r="I16" s="33" t="s">
        <v>401</v>
      </c>
      <c r="J16" s="134">
        <v>0.16666666666666699</v>
      </c>
      <c r="K16" s="33"/>
      <c r="L16" s="135"/>
    </row>
    <row r="17" spans="1:12">
      <c r="A17" s="132">
        <f t="shared" ref="A17:A21" si="0">1+A16</f>
        <v>3</v>
      </c>
      <c r="B17" s="33" t="s">
        <v>71</v>
      </c>
      <c r="C17" s="33">
        <v>99.3</v>
      </c>
      <c r="D17" s="33" t="s">
        <v>402</v>
      </c>
      <c r="E17" s="33" t="s">
        <v>154</v>
      </c>
      <c r="F17" s="33">
        <v>391</v>
      </c>
      <c r="G17" s="33" t="s">
        <v>285</v>
      </c>
      <c r="H17" s="33" t="s">
        <v>400</v>
      </c>
      <c r="I17" s="33" t="s">
        <v>401</v>
      </c>
      <c r="J17" s="134">
        <v>0.16666666666666699</v>
      </c>
      <c r="K17" s="33"/>
      <c r="L17" s="135"/>
    </row>
    <row r="18" spans="1:12">
      <c r="A18" s="132">
        <f t="shared" si="0"/>
        <v>4</v>
      </c>
      <c r="B18" s="33" t="s">
        <v>71</v>
      </c>
      <c r="C18" s="33">
        <v>56.7</v>
      </c>
      <c r="D18" s="33" t="s">
        <v>402</v>
      </c>
      <c r="E18" s="33" t="s">
        <v>149</v>
      </c>
      <c r="F18" s="33">
        <v>209</v>
      </c>
      <c r="G18" s="33" t="s">
        <v>285</v>
      </c>
      <c r="H18" s="33" t="s">
        <v>400</v>
      </c>
      <c r="I18" s="33" t="s">
        <v>401</v>
      </c>
      <c r="J18" s="134">
        <v>0.16666666666666699</v>
      </c>
      <c r="K18" s="33"/>
      <c r="L18" s="135"/>
    </row>
    <row r="19" spans="1:12">
      <c r="A19" s="132">
        <f t="shared" si="0"/>
        <v>5</v>
      </c>
      <c r="B19" s="33" t="s">
        <v>71</v>
      </c>
      <c r="C19" s="33">
        <v>56.7</v>
      </c>
      <c r="D19" s="33" t="s">
        <v>149</v>
      </c>
      <c r="E19" s="33" t="s">
        <v>403</v>
      </c>
      <c r="F19" s="33">
        <v>68</v>
      </c>
      <c r="G19" s="33" t="s">
        <v>285</v>
      </c>
      <c r="H19" s="33" t="s">
        <v>400</v>
      </c>
      <c r="I19" s="33" t="s">
        <v>401</v>
      </c>
      <c r="J19" s="134">
        <v>0.16666666666666699</v>
      </c>
      <c r="K19" s="33"/>
      <c r="L19" s="135"/>
    </row>
    <row r="20" spans="1:12">
      <c r="A20" s="132">
        <f t="shared" si="0"/>
        <v>6</v>
      </c>
      <c r="B20" s="33" t="s">
        <v>71</v>
      </c>
      <c r="C20" s="33">
        <v>56.7</v>
      </c>
      <c r="D20" s="33" t="s">
        <v>149</v>
      </c>
      <c r="E20" s="33" t="s">
        <v>150</v>
      </c>
      <c r="F20" s="33">
        <v>43</v>
      </c>
      <c r="G20" s="33" t="s">
        <v>285</v>
      </c>
      <c r="H20" s="33" t="s">
        <v>400</v>
      </c>
      <c r="I20" s="33" t="s">
        <v>401</v>
      </c>
      <c r="J20" s="134">
        <v>0.16666666666666699</v>
      </c>
      <c r="K20" s="33"/>
      <c r="L20" s="135"/>
    </row>
    <row r="21" spans="1:12">
      <c r="A21" s="132">
        <f t="shared" si="0"/>
        <v>7</v>
      </c>
      <c r="B21" s="33" t="s">
        <v>71</v>
      </c>
      <c r="C21" s="33">
        <v>56.7</v>
      </c>
      <c r="D21" s="33" t="s">
        <v>145</v>
      </c>
      <c r="E21" s="33" t="s">
        <v>404</v>
      </c>
      <c r="F21" s="33">
        <v>106</v>
      </c>
      <c r="G21" s="33" t="s">
        <v>285</v>
      </c>
      <c r="H21" s="33" t="s">
        <v>400</v>
      </c>
      <c r="I21" s="33" t="s">
        <v>401</v>
      </c>
      <c r="J21" s="134">
        <v>0.16666666666666699</v>
      </c>
      <c r="K21" s="33"/>
      <c r="L21" s="135"/>
    </row>
    <row r="22" spans="1:12">
      <c r="A22" s="132"/>
      <c r="B22" s="88"/>
      <c r="C22" s="88"/>
      <c r="D22" s="88"/>
      <c r="E22" s="88"/>
      <c r="F22" s="88"/>
      <c r="G22" s="88"/>
      <c r="H22" s="88"/>
      <c r="I22" s="88"/>
      <c r="J22" s="88"/>
      <c r="K22" s="88"/>
      <c r="L22" s="136"/>
    </row>
    <row r="23" spans="1:12">
      <c r="A23" s="133"/>
      <c r="B23" s="88"/>
      <c r="C23" s="88"/>
      <c r="D23" s="88"/>
      <c r="E23" s="88"/>
      <c r="F23" s="88"/>
      <c r="G23" s="88"/>
      <c r="H23" s="88"/>
      <c r="I23" s="88"/>
      <c r="J23" s="88"/>
      <c r="K23" s="88"/>
      <c r="L23" s="136"/>
    </row>
    <row r="24" spans="1:12">
      <c r="A24" s="133"/>
      <c r="B24" s="88"/>
      <c r="C24" s="88"/>
      <c r="D24" s="88"/>
      <c r="E24" s="88"/>
      <c r="F24" s="88"/>
      <c r="G24" s="88"/>
      <c r="H24" s="88"/>
      <c r="I24" s="88"/>
      <c r="J24" s="88"/>
      <c r="K24" s="88"/>
      <c r="L24" s="136"/>
    </row>
    <row r="25" spans="1:12">
      <c r="A25" s="133"/>
      <c r="B25" s="88"/>
      <c r="C25" s="88"/>
      <c r="D25" s="88"/>
      <c r="E25" s="88"/>
      <c r="F25" s="88"/>
      <c r="G25" s="88"/>
      <c r="H25" s="88"/>
      <c r="I25" s="88"/>
      <c r="J25" s="88"/>
      <c r="K25" s="88"/>
      <c r="L25" s="136"/>
    </row>
    <row r="26" spans="1:12">
      <c r="A26" s="133"/>
      <c r="B26" s="88"/>
      <c r="C26" s="88"/>
      <c r="D26" s="88"/>
      <c r="E26" s="88"/>
      <c r="F26" s="88"/>
      <c r="G26" s="88"/>
      <c r="H26" s="88"/>
      <c r="I26" s="88"/>
      <c r="J26" s="88"/>
      <c r="K26" s="88"/>
      <c r="L26" s="136"/>
    </row>
    <row r="27" spans="1:12">
      <c r="A27" s="133"/>
      <c r="B27" s="88"/>
      <c r="C27" s="88"/>
      <c r="D27" s="88"/>
      <c r="E27" s="88"/>
      <c r="F27" s="88"/>
      <c r="G27" s="88"/>
      <c r="H27" s="88"/>
      <c r="I27" s="88"/>
      <c r="J27" s="88"/>
      <c r="K27" s="88"/>
      <c r="L27" s="137"/>
    </row>
    <row r="28" spans="1:12">
      <c r="A28" s="133"/>
      <c r="B28" s="88"/>
      <c r="C28" s="88"/>
      <c r="D28" s="88"/>
      <c r="E28" s="88"/>
      <c r="F28" s="88"/>
      <c r="G28" s="88"/>
      <c r="H28" s="88"/>
      <c r="I28" s="88"/>
      <c r="J28" s="88"/>
      <c r="K28" s="88"/>
      <c r="L28" s="137"/>
    </row>
    <row r="29" spans="1:12">
      <c r="A29" s="238"/>
      <c r="B29" s="222"/>
      <c r="C29" s="239" t="s">
        <v>86</v>
      </c>
      <c r="D29" s="240"/>
      <c r="E29" s="240"/>
      <c r="F29" s="241"/>
      <c r="G29" s="239" t="s">
        <v>87</v>
      </c>
      <c r="H29" s="240"/>
      <c r="I29" s="241"/>
      <c r="J29" s="239" t="s">
        <v>39</v>
      </c>
      <c r="K29" s="240"/>
      <c r="L29" s="242"/>
    </row>
    <row r="30" spans="1:12">
      <c r="A30" s="230" t="s">
        <v>40</v>
      </c>
      <c r="B30" s="189"/>
      <c r="C30" s="234" t="s">
        <v>133</v>
      </c>
      <c r="D30" s="235"/>
      <c r="E30" s="235"/>
      <c r="F30" s="236"/>
      <c r="G30" s="234"/>
      <c r="H30" s="235"/>
      <c r="I30" s="236"/>
      <c r="J30" s="234"/>
      <c r="K30" s="235"/>
      <c r="L30" s="237"/>
    </row>
    <row r="31" spans="1:12">
      <c r="A31" s="230" t="s">
        <v>41</v>
      </c>
      <c r="B31" s="189"/>
      <c r="C31" s="234" t="s">
        <v>140</v>
      </c>
      <c r="D31" s="235"/>
      <c r="E31" s="235"/>
      <c r="F31" s="236"/>
      <c r="G31" s="234"/>
      <c r="H31" s="235"/>
      <c r="I31" s="236"/>
      <c r="J31" s="234"/>
      <c r="K31" s="235"/>
      <c r="L31" s="237"/>
    </row>
    <row r="32" spans="1:12">
      <c r="A32" s="230" t="s">
        <v>42</v>
      </c>
      <c r="B32" s="189"/>
      <c r="C32" s="234"/>
      <c r="D32" s="235"/>
      <c r="E32" s="235"/>
      <c r="F32" s="236"/>
      <c r="G32" s="234"/>
      <c r="H32" s="235"/>
      <c r="I32" s="236"/>
      <c r="J32" s="234"/>
      <c r="K32" s="235"/>
      <c r="L32" s="237"/>
    </row>
    <row r="33" spans="1:12">
      <c r="A33" s="245" t="s">
        <v>43</v>
      </c>
      <c r="B33" s="246"/>
      <c r="C33" s="265">
        <v>44985</v>
      </c>
      <c r="D33" s="266"/>
      <c r="E33" s="266"/>
      <c r="F33" s="267"/>
      <c r="G33" s="250"/>
      <c r="H33" s="251"/>
      <c r="I33" s="252"/>
      <c r="J33" s="250"/>
      <c r="K33" s="251"/>
      <c r="L33" s="253"/>
    </row>
  </sheetData>
  <mergeCells count="38">
    <mergeCell ref="A29:B29"/>
    <mergeCell ref="C29:F29"/>
    <mergeCell ref="G29:I29"/>
    <mergeCell ref="J29:L29"/>
    <mergeCell ref="E13:E14"/>
    <mergeCell ref="F13:F14"/>
    <mergeCell ref="G13:G14"/>
    <mergeCell ref="K13:K14"/>
    <mergeCell ref="L13:L14"/>
    <mergeCell ref="A30:B30"/>
    <mergeCell ref="C30:F30"/>
    <mergeCell ref="G30:I30"/>
    <mergeCell ref="J30:L30"/>
    <mergeCell ref="A31:B31"/>
    <mergeCell ref="C31:F31"/>
    <mergeCell ref="G31:I31"/>
    <mergeCell ref="J31:L31"/>
    <mergeCell ref="A32:B32"/>
    <mergeCell ref="C32:F32"/>
    <mergeCell ref="G32:I32"/>
    <mergeCell ref="J32:L32"/>
    <mergeCell ref="A33:B33"/>
    <mergeCell ref="C33:F33"/>
    <mergeCell ref="G33:I33"/>
    <mergeCell ref="J33:L33"/>
    <mergeCell ref="A1:A4"/>
    <mergeCell ref="A13:A14"/>
    <mergeCell ref="B13:B14"/>
    <mergeCell ref="C13:C14"/>
    <mergeCell ref="D13:D14"/>
    <mergeCell ref="B1:H4"/>
    <mergeCell ref="A11:L11"/>
    <mergeCell ref="H13:J13"/>
    <mergeCell ref="A5:B5"/>
    <mergeCell ref="A6:B6"/>
    <mergeCell ref="A7:B7"/>
    <mergeCell ref="A8:B8"/>
    <mergeCell ref="A9:L9"/>
  </mergeCells>
  <pageMargins left="0.70866141732283505" right="0.70866141732283505" top="0.74803149606299202" bottom="0.74803149606299202" header="0.31496062992126" footer="0.31496062992126"/>
  <pageSetup scale="75"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93"/>
  <sheetViews>
    <sheetView topLeftCell="A34" workbookViewId="0">
      <selection activeCell="A52" sqref="A52:L56"/>
    </sheetView>
  </sheetViews>
  <sheetFormatPr defaultColWidth="9" defaultRowHeight="15"/>
  <cols>
    <col min="1" max="1" width="13" customWidth="1"/>
    <col min="2" max="2" width="15.28515625" customWidth="1"/>
    <col min="7" max="7" width="21.5703125" customWidth="1"/>
    <col min="8" max="8" width="13.7109375" customWidth="1"/>
    <col min="9" max="9" width="15.140625" customWidth="1"/>
    <col min="10" max="10" width="11.85546875" customWidth="1"/>
    <col min="14" max="14" width="11.5703125" customWidth="1"/>
    <col min="15" max="15" width="15.28515625" customWidth="1"/>
    <col min="17" max="17" width="10.5703125" customWidth="1"/>
    <col min="20" max="20" width="22.140625" customWidth="1"/>
    <col min="21" max="21" width="11.28515625" customWidth="1"/>
    <col min="28" max="28" width="9.28515625" customWidth="1"/>
    <col min="29" max="29" width="10.42578125" customWidth="1"/>
    <col min="34" max="34" width="12.42578125" customWidth="1"/>
    <col min="36" max="36" width="10.42578125" customWidth="1"/>
    <col min="43" max="43" width="9.85546875" customWidth="1"/>
  </cols>
  <sheetData>
    <row r="1" spans="1:48" ht="23.25">
      <c r="A1" s="206"/>
      <c r="B1" s="211" t="s">
        <v>44</v>
      </c>
      <c r="C1" s="212"/>
      <c r="D1" s="212"/>
      <c r="E1" s="212"/>
      <c r="F1" s="212"/>
      <c r="G1" s="212"/>
      <c r="H1" s="213"/>
      <c r="I1" s="2"/>
      <c r="J1" s="20"/>
      <c r="K1" s="20"/>
      <c r="L1" s="21"/>
      <c r="N1" s="206"/>
      <c r="O1" s="211" t="s">
        <v>44</v>
      </c>
      <c r="P1" s="212"/>
      <c r="Q1" s="212"/>
      <c r="R1" s="212"/>
      <c r="S1" s="212"/>
      <c r="T1" s="212"/>
      <c r="U1" s="213"/>
      <c r="V1" s="2"/>
      <c r="W1" s="20"/>
      <c r="X1" s="20"/>
      <c r="Y1" s="21"/>
      <c r="AB1" s="206"/>
      <c r="AC1" s="211" t="s">
        <v>44</v>
      </c>
      <c r="AD1" s="212"/>
      <c r="AE1" s="212"/>
      <c r="AF1" s="212"/>
      <c r="AG1" s="212"/>
      <c r="AH1" s="212"/>
      <c r="AI1" s="213"/>
      <c r="AJ1" s="211"/>
      <c r="AK1" s="212"/>
      <c r="AL1" s="212"/>
      <c r="AM1" s="213"/>
    </row>
    <row r="2" spans="1:48" ht="23.25">
      <c r="A2" s="207"/>
      <c r="B2" s="214"/>
      <c r="C2" s="215"/>
      <c r="D2" s="215"/>
      <c r="E2" s="215"/>
      <c r="F2" s="215"/>
      <c r="G2" s="215"/>
      <c r="H2" s="216"/>
      <c r="I2" s="4"/>
      <c r="L2" s="22"/>
      <c r="N2" s="207"/>
      <c r="O2" s="214"/>
      <c r="P2" s="215"/>
      <c r="Q2" s="215"/>
      <c r="R2" s="215"/>
      <c r="S2" s="215"/>
      <c r="T2" s="215"/>
      <c r="U2" s="216"/>
      <c r="V2" s="4"/>
      <c r="Y2" s="22"/>
      <c r="AB2" s="207"/>
      <c r="AC2" s="214"/>
      <c r="AD2" s="215"/>
      <c r="AE2" s="215"/>
      <c r="AF2" s="215"/>
      <c r="AG2" s="215"/>
      <c r="AH2" s="215"/>
      <c r="AI2" s="216"/>
      <c r="AJ2" s="214"/>
      <c r="AK2" s="215"/>
      <c r="AL2" s="215"/>
      <c r="AM2" s="216"/>
    </row>
    <row r="3" spans="1:48" ht="23.25">
      <c r="A3" s="207"/>
      <c r="B3" s="214"/>
      <c r="C3" s="215"/>
      <c r="D3" s="215"/>
      <c r="E3" s="215"/>
      <c r="F3" s="215"/>
      <c r="G3" s="215"/>
      <c r="H3" s="216"/>
      <c r="I3" s="4"/>
      <c r="L3" s="22"/>
      <c r="N3" s="207"/>
      <c r="O3" s="214"/>
      <c r="P3" s="215"/>
      <c r="Q3" s="215"/>
      <c r="R3" s="215"/>
      <c r="S3" s="215"/>
      <c r="T3" s="215"/>
      <c r="U3" s="216"/>
      <c r="V3" s="4"/>
      <c r="Y3" s="22"/>
      <c r="AB3" s="207"/>
      <c r="AC3" s="214"/>
      <c r="AD3" s="215"/>
      <c r="AE3" s="215"/>
      <c r="AF3" s="215"/>
      <c r="AG3" s="215"/>
      <c r="AH3" s="215"/>
      <c r="AI3" s="216"/>
      <c r="AJ3" s="214"/>
      <c r="AK3" s="215"/>
      <c r="AL3" s="215"/>
      <c r="AM3" s="216"/>
    </row>
    <row r="4" spans="1:48" ht="23.25">
      <c r="A4" s="207"/>
      <c r="B4" s="214"/>
      <c r="C4" s="215"/>
      <c r="D4" s="215"/>
      <c r="E4" s="215"/>
      <c r="F4" s="215"/>
      <c r="G4" s="215"/>
      <c r="H4" s="216"/>
      <c r="I4" s="4"/>
      <c r="L4" s="22"/>
      <c r="N4" s="207"/>
      <c r="O4" s="214"/>
      <c r="P4" s="215"/>
      <c r="Q4" s="215"/>
      <c r="R4" s="215"/>
      <c r="S4" s="215"/>
      <c r="T4" s="215"/>
      <c r="U4" s="216"/>
      <c r="V4" s="4"/>
      <c r="Y4" s="22"/>
      <c r="AB4" s="207"/>
      <c r="AC4" s="214"/>
      <c r="AD4" s="215"/>
      <c r="AE4" s="215"/>
      <c r="AF4" s="215"/>
      <c r="AG4" s="215"/>
      <c r="AH4" s="215"/>
      <c r="AI4" s="216"/>
      <c r="AJ4" s="289"/>
      <c r="AK4" s="290"/>
      <c r="AL4" s="290"/>
      <c r="AM4" s="291"/>
    </row>
    <row r="5" spans="1:48" ht="16.5">
      <c r="A5" s="223" t="s">
        <v>45</v>
      </c>
      <c r="B5" s="224"/>
      <c r="C5" s="7" t="s">
        <v>46</v>
      </c>
      <c r="D5" s="8"/>
      <c r="E5" s="8"/>
      <c r="F5" s="8"/>
      <c r="G5" s="8"/>
      <c r="H5" s="8"/>
      <c r="I5" s="8"/>
      <c r="J5" s="8"/>
      <c r="K5" s="8"/>
      <c r="L5" s="23"/>
      <c r="N5" s="223" t="s">
        <v>45</v>
      </c>
      <c r="O5" s="224"/>
      <c r="P5" s="7" t="s">
        <v>46</v>
      </c>
      <c r="Q5" s="8"/>
      <c r="R5" s="8"/>
      <c r="S5" s="8"/>
      <c r="T5" s="8"/>
      <c r="U5" s="8"/>
      <c r="V5" s="8"/>
      <c r="W5" s="8"/>
      <c r="X5" s="8"/>
      <c r="Y5" s="23"/>
      <c r="AB5" s="223" t="s">
        <v>45</v>
      </c>
      <c r="AC5" s="224"/>
      <c r="AD5" s="7" t="s">
        <v>46</v>
      </c>
      <c r="AE5" s="8"/>
      <c r="AF5" s="8"/>
      <c r="AG5" s="8"/>
      <c r="AH5" s="8"/>
      <c r="AI5" s="8"/>
      <c r="AJ5" s="8"/>
      <c r="AK5" s="8"/>
      <c r="AL5" s="8"/>
      <c r="AM5" s="23"/>
    </row>
    <row r="6" spans="1:48" ht="16.5">
      <c r="A6" s="223" t="s">
        <v>48</v>
      </c>
      <c r="B6" s="224"/>
      <c r="C6" s="7" t="s">
        <v>49</v>
      </c>
      <c r="D6" s="8"/>
      <c r="E6" s="8"/>
      <c r="F6" s="8"/>
      <c r="G6" s="8"/>
      <c r="H6" s="8"/>
      <c r="I6" s="8"/>
      <c r="J6" s="8"/>
      <c r="K6" s="8"/>
      <c r="L6" s="23"/>
      <c r="N6" s="223" t="s">
        <v>48</v>
      </c>
      <c r="O6" s="224"/>
      <c r="P6" s="7" t="s">
        <v>49</v>
      </c>
      <c r="Q6" s="8"/>
      <c r="R6" s="8"/>
      <c r="S6" s="8"/>
      <c r="T6" s="8"/>
      <c r="U6" s="8"/>
      <c r="V6" s="8"/>
      <c r="W6" s="8"/>
      <c r="X6" s="8"/>
      <c r="Y6" s="23"/>
      <c r="AB6" s="223" t="s">
        <v>48</v>
      </c>
      <c r="AC6" s="224"/>
      <c r="AD6" s="7" t="s">
        <v>49</v>
      </c>
      <c r="AE6" s="8"/>
      <c r="AF6" s="8"/>
      <c r="AG6" s="8"/>
      <c r="AH6" s="8"/>
      <c r="AI6" s="8"/>
      <c r="AJ6" s="8"/>
      <c r="AK6" s="8"/>
      <c r="AL6" s="8"/>
      <c r="AM6" s="23"/>
    </row>
    <row r="7" spans="1:48" ht="16.5">
      <c r="A7" s="225" t="s">
        <v>50</v>
      </c>
      <c r="B7" s="226"/>
      <c r="C7" s="7" t="s">
        <v>51</v>
      </c>
      <c r="D7" s="8"/>
      <c r="E7" s="8"/>
      <c r="F7" s="8"/>
      <c r="G7" s="8"/>
      <c r="H7" s="8"/>
      <c r="I7" s="8"/>
      <c r="J7" s="8"/>
      <c r="K7" s="8"/>
      <c r="L7" s="23"/>
      <c r="N7" s="225" t="s">
        <v>50</v>
      </c>
      <c r="O7" s="226"/>
      <c r="P7" s="7" t="s">
        <v>51</v>
      </c>
      <c r="Q7" s="8"/>
      <c r="R7" s="8"/>
      <c r="S7" s="8"/>
      <c r="T7" s="8"/>
      <c r="U7" s="8"/>
      <c r="V7" s="8"/>
      <c r="W7" s="8"/>
      <c r="X7" s="8"/>
      <c r="Y7" s="23"/>
      <c r="AB7" s="225" t="s">
        <v>50</v>
      </c>
      <c r="AC7" s="226"/>
      <c r="AD7" s="7" t="s">
        <v>51</v>
      </c>
      <c r="AE7" s="8"/>
      <c r="AF7" s="8"/>
      <c r="AG7" s="8"/>
      <c r="AH7" s="8"/>
      <c r="AI7" s="8"/>
      <c r="AJ7" s="8"/>
      <c r="AK7" s="8"/>
      <c r="AL7" s="8"/>
      <c r="AM7" s="23"/>
    </row>
    <row r="8" spans="1:48" ht="16.5">
      <c r="A8" s="223" t="s">
        <v>52</v>
      </c>
      <c r="B8" s="224"/>
      <c r="C8" s="7" t="s">
        <v>53</v>
      </c>
      <c r="D8" s="8"/>
      <c r="E8" s="8"/>
      <c r="F8" s="8"/>
      <c r="G8" s="8"/>
      <c r="H8" s="8"/>
      <c r="I8" s="8"/>
      <c r="J8" s="8"/>
      <c r="K8" s="8"/>
      <c r="L8" s="23"/>
      <c r="N8" s="223" t="s">
        <v>52</v>
      </c>
      <c r="O8" s="224"/>
      <c r="P8" s="7" t="s">
        <v>53</v>
      </c>
      <c r="Q8" s="8"/>
      <c r="R8" s="8"/>
      <c r="S8" s="8"/>
      <c r="T8" s="8"/>
      <c r="U8" s="8"/>
      <c r="V8" s="8"/>
      <c r="W8" s="8"/>
      <c r="X8" s="8"/>
      <c r="Y8" s="23"/>
      <c r="AB8" s="223" t="s">
        <v>52</v>
      </c>
      <c r="AC8" s="224"/>
      <c r="AD8" s="7" t="s">
        <v>53</v>
      </c>
      <c r="AE8" s="8"/>
      <c r="AF8" s="8"/>
      <c r="AG8" s="8"/>
      <c r="AH8" s="8"/>
      <c r="AI8" s="8"/>
      <c r="AJ8" s="8"/>
      <c r="AK8" s="8"/>
      <c r="AL8" s="8"/>
      <c r="AM8" s="23"/>
    </row>
    <row r="9" spans="1:48" ht="15.75">
      <c r="A9" s="227" t="s">
        <v>405</v>
      </c>
      <c r="B9" s="228"/>
      <c r="C9" s="228"/>
      <c r="D9" s="228"/>
      <c r="E9" s="228"/>
      <c r="F9" s="228"/>
      <c r="G9" s="228"/>
      <c r="H9" s="228"/>
      <c r="I9" s="228"/>
      <c r="J9" s="228"/>
      <c r="K9" s="228"/>
      <c r="L9" s="229"/>
      <c r="N9" s="227" t="s">
        <v>405</v>
      </c>
      <c r="O9" s="228"/>
      <c r="P9" s="228"/>
      <c r="Q9" s="228"/>
      <c r="R9" s="228"/>
      <c r="S9" s="228"/>
      <c r="T9" s="228"/>
      <c r="U9" s="228"/>
      <c r="V9" s="228"/>
      <c r="W9" s="228"/>
      <c r="X9" s="228"/>
      <c r="Y9" s="229"/>
      <c r="AB9" s="227" t="s">
        <v>405</v>
      </c>
      <c r="AC9" s="228"/>
      <c r="AD9" s="228"/>
      <c r="AE9" s="228"/>
      <c r="AF9" s="228"/>
      <c r="AG9" s="228"/>
      <c r="AH9" s="228"/>
      <c r="AI9" s="228"/>
      <c r="AJ9" s="228"/>
      <c r="AK9" s="228"/>
      <c r="AL9" s="228"/>
      <c r="AM9" s="229"/>
    </row>
    <row r="10" spans="1:48" ht="15.75">
      <c r="A10" s="11" t="s">
        <v>55</v>
      </c>
      <c r="B10" s="12"/>
      <c r="C10" s="12"/>
      <c r="D10" s="12"/>
      <c r="E10" s="12"/>
      <c r="F10" s="12"/>
      <c r="G10" s="24" t="s">
        <v>56</v>
      </c>
      <c r="H10" s="25"/>
      <c r="I10" s="12"/>
      <c r="J10" s="12"/>
      <c r="K10" s="12"/>
      <c r="L10" s="26"/>
      <c r="N10" s="11" t="s">
        <v>55</v>
      </c>
      <c r="O10" s="12"/>
      <c r="P10" s="12"/>
      <c r="Q10" s="12"/>
      <c r="R10" s="12"/>
      <c r="S10" s="12"/>
      <c r="T10" s="24" t="s">
        <v>56</v>
      </c>
      <c r="U10" s="25"/>
      <c r="V10" s="12"/>
      <c r="W10" s="12"/>
      <c r="X10" s="12"/>
      <c r="Y10" s="26"/>
      <c r="AB10" s="11" t="s">
        <v>55</v>
      </c>
      <c r="AC10" s="12"/>
      <c r="AD10" s="12"/>
      <c r="AE10" s="12"/>
      <c r="AF10" s="12"/>
      <c r="AG10" s="12"/>
      <c r="AH10" s="24" t="s">
        <v>56</v>
      </c>
      <c r="AI10" s="25"/>
      <c r="AJ10" s="12"/>
      <c r="AK10" s="12"/>
      <c r="AL10" s="12"/>
      <c r="AM10" s="26"/>
    </row>
    <row r="11" spans="1:48">
      <c r="A11" s="217"/>
      <c r="B11" s="218"/>
      <c r="C11" s="218"/>
      <c r="D11" s="218"/>
      <c r="E11" s="218"/>
      <c r="F11" s="218"/>
      <c r="G11" s="218"/>
      <c r="H11" s="218"/>
      <c r="I11" s="218"/>
      <c r="J11" s="218"/>
      <c r="K11" s="218"/>
      <c r="L11" s="219"/>
      <c r="N11" s="217"/>
      <c r="O11" s="218"/>
      <c r="P11" s="218"/>
      <c r="Q11" s="218"/>
      <c r="R11" s="218"/>
      <c r="S11" s="218"/>
      <c r="T11" s="218"/>
      <c r="U11" s="218"/>
      <c r="V11" s="218"/>
      <c r="W11" s="218"/>
      <c r="X11" s="218"/>
      <c r="Y11" s="219"/>
      <c r="AB11" s="217"/>
      <c r="AC11" s="218"/>
      <c r="AD11" s="218"/>
      <c r="AE11" s="218"/>
      <c r="AF11" s="218"/>
      <c r="AG11" s="218"/>
      <c r="AH11" s="218"/>
      <c r="AI11" s="218"/>
      <c r="AJ11" s="218"/>
      <c r="AK11" s="218"/>
      <c r="AL11" s="218"/>
      <c r="AM11" s="219"/>
    </row>
    <row r="12" spans="1:48">
      <c r="A12" s="11" t="s">
        <v>103</v>
      </c>
      <c r="B12" s="114">
        <v>45044</v>
      </c>
      <c r="C12" s="73"/>
      <c r="D12" s="24"/>
      <c r="E12" s="74"/>
      <c r="F12" s="25"/>
      <c r="G12" s="24" t="s">
        <v>406</v>
      </c>
      <c r="H12" s="114">
        <v>45044</v>
      </c>
      <c r="I12" s="74"/>
      <c r="J12" s="74"/>
      <c r="K12" s="74"/>
      <c r="L12" s="80"/>
      <c r="N12" s="11" t="s">
        <v>103</v>
      </c>
      <c r="O12" s="114">
        <v>45076</v>
      </c>
      <c r="P12" s="73"/>
      <c r="Q12" s="24"/>
      <c r="R12" s="74"/>
      <c r="S12" s="25"/>
      <c r="T12" s="24" t="s">
        <v>406</v>
      </c>
      <c r="U12" s="114">
        <v>45076</v>
      </c>
      <c r="V12" s="74"/>
      <c r="W12" s="74"/>
      <c r="X12" s="74"/>
      <c r="Y12" s="80"/>
      <c r="AB12" s="11" t="s">
        <v>103</v>
      </c>
      <c r="AC12" s="114">
        <v>45048</v>
      </c>
      <c r="AD12" s="73"/>
      <c r="AE12" s="24"/>
      <c r="AF12" s="74"/>
      <c r="AG12" s="25"/>
      <c r="AH12" s="24" t="s">
        <v>406</v>
      </c>
      <c r="AI12" s="114"/>
      <c r="AJ12" s="82">
        <v>45048</v>
      </c>
      <c r="AK12" s="74"/>
      <c r="AL12" s="74"/>
      <c r="AM12" s="80"/>
    </row>
    <row r="13" spans="1:48" ht="16.5" customHeight="1">
      <c r="A13" s="208" t="s">
        <v>59</v>
      </c>
      <c r="B13" s="209" t="s">
        <v>60</v>
      </c>
      <c r="C13" s="210" t="s">
        <v>61</v>
      </c>
      <c r="D13" s="210" t="s">
        <v>62</v>
      </c>
      <c r="E13" s="210" t="s">
        <v>63</v>
      </c>
      <c r="F13" s="210" t="s">
        <v>64</v>
      </c>
      <c r="G13" s="292" t="s">
        <v>65</v>
      </c>
      <c r="H13" s="220" t="s">
        <v>66</v>
      </c>
      <c r="I13" s="221"/>
      <c r="J13" s="222"/>
      <c r="K13" s="209" t="s">
        <v>30</v>
      </c>
      <c r="L13" s="244" t="s">
        <v>67</v>
      </c>
      <c r="N13" s="208" t="s">
        <v>59</v>
      </c>
      <c r="O13" s="209" t="s">
        <v>60</v>
      </c>
      <c r="P13" s="210" t="s">
        <v>61</v>
      </c>
      <c r="Q13" s="210" t="s">
        <v>62</v>
      </c>
      <c r="R13" s="210" t="s">
        <v>63</v>
      </c>
      <c r="S13" s="210" t="s">
        <v>64</v>
      </c>
      <c r="T13" s="292" t="s">
        <v>65</v>
      </c>
      <c r="U13" s="220" t="s">
        <v>66</v>
      </c>
      <c r="V13" s="221"/>
      <c r="W13" s="222"/>
      <c r="X13" s="209" t="s">
        <v>30</v>
      </c>
      <c r="Y13" s="244" t="s">
        <v>67</v>
      </c>
      <c r="AB13" s="208" t="s">
        <v>59</v>
      </c>
      <c r="AC13" s="209" t="s">
        <v>60</v>
      </c>
      <c r="AD13" s="210" t="s">
        <v>61</v>
      </c>
      <c r="AE13" s="210" t="s">
        <v>62</v>
      </c>
      <c r="AF13" s="210" t="s">
        <v>63</v>
      </c>
      <c r="AG13" s="210" t="s">
        <v>64</v>
      </c>
      <c r="AH13" s="292" t="s">
        <v>65</v>
      </c>
      <c r="AI13" s="220" t="s">
        <v>66</v>
      </c>
      <c r="AJ13" s="221"/>
      <c r="AK13" s="222"/>
      <c r="AL13" s="209" t="s">
        <v>30</v>
      </c>
      <c r="AM13" s="244" t="s">
        <v>67</v>
      </c>
      <c r="AQ13" s="61" t="s">
        <v>407</v>
      </c>
      <c r="AR13" s="61" t="s">
        <v>408</v>
      </c>
    </row>
    <row r="14" spans="1:48" ht="60">
      <c r="A14" s="208"/>
      <c r="B14" s="209"/>
      <c r="C14" s="210"/>
      <c r="D14" s="210"/>
      <c r="E14" s="210"/>
      <c r="F14" s="210"/>
      <c r="G14" s="293"/>
      <c r="H14" s="16" t="s">
        <v>68</v>
      </c>
      <c r="I14" s="62" t="s">
        <v>69</v>
      </c>
      <c r="J14" s="16" t="s">
        <v>70</v>
      </c>
      <c r="K14" s="209"/>
      <c r="L14" s="244"/>
      <c r="N14" s="208"/>
      <c r="O14" s="209"/>
      <c r="P14" s="210"/>
      <c r="Q14" s="210"/>
      <c r="R14" s="210"/>
      <c r="S14" s="210"/>
      <c r="T14" s="293"/>
      <c r="U14" s="16" t="s">
        <v>68</v>
      </c>
      <c r="V14" s="62" t="s">
        <v>69</v>
      </c>
      <c r="W14" s="16" t="s">
        <v>70</v>
      </c>
      <c r="X14" s="209"/>
      <c r="Y14" s="244"/>
      <c r="AB14" s="208"/>
      <c r="AC14" s="209"/>
      <c r="AD14" s="210"/>
      <c r="AE14" s="210"/>
      <c r="AF14" s="210"/>
      <c r="AG14" s="210"/>
      <c r="AH14" s="293"/>
      <c r="AI14" s="16" t="s">
        <v>68</v>
      </c>
      <c r="AJ14" s="62" t="s">
        <v>69</v>
      </c>
      <c r="AK14" s="16" t="s">
        <v>70</v>
      </c>
      <c r="AL14" s="209"/>
      <c r="AM14" s="244"/>
      <c r="AQ14" s="127" t="s">
        <v>409</v>
      </c>
      <c r="AR14" s="127" t="s">
        <v>84</v>
      </c>
      <c r="AS14" s="87" t="s">
        <v>410</v>
      </c>
      <c r="AT14" s="33"/>
      <c r="AU14" s="33">
        <v>63</v>
      </c>
      <c r="AV14" s="33">
        <v>32</v>
      </c>
    </row>
    <row r="15" spans="1:48" ht="15.75">
      <c r="A15" s="120">
        <v>1</v>
      </c>
      <c r="B15" s="110" t="s">
        <v>71</v>
      </c>
      <c r="C15" s="110">
        <v>67.400000000000006</v>
      </c>
      <c r="D15" s="110" t="s">
        <v>411</v>
      </c>
      <c r="E15" s="110" t="s">
        <v>412</v>
      </c>
      <c r="F15" s="110">
        <v>452.5</v>
      </c>
      <c r="G15" s="110" t="s">
        <v>112</v>
      </c>
      <c r="H15" s="110">
        <v>3</v>
      </c>
      <c r="I15" s="110">
        <v>1</v>
      </c>
      <c r="J15" s="123" t="s">
        <v>113</v>
      </c>
      <c r="K15" s="110" t="s">
        <v>114</v>
      </c>
      <c r="L15" s="124"/>
      <c r="M15" s="47"/>
      <c r="N15" s="120">
        <v>1</v>
      </c>
      <c r="O15" s="110" t="s">
        <v>71</v>
      </c>
      <c r="P15" s="110">
        <v>126.3</v>
      </c>
      <c r="Q15" s="110" t="s">
        <v>413</v>
      </c>
      <c r="R15" s="110" t="s">
        <v>414</v>
      </c>
      <c r="S15" s="110">
        <v>95.8</v>
      </c>
      <c r="T15" s="110" t="s">
        <v>112</v>
      </c>
      <c r="U15" s="110">
        <v>3</v>
      </c>
      <c r="V15" s="110">
        <v>1</v>
      </c>
      <c r="W15" s="123" t="s">
        <v>113</v>
      </c>
      <c r="X15" s="110" t="s">
        <v>114</v>
      </c>
      <c r="Y15" s="124"/>
      <c r="Z15" s="47"/>
      <c r="AA15" s="47"/>
      <c r="AB15" s="55">
        <v>1</v>
      </c>
      <c r="AC15" s="110" t="s">
        <v>71</v>
      </c>
      <c r="AD15" s="55">
        <v>99.3</v>
      </c>
      <c r="AE15" s="55" t="s">
        <v>415</v>
      </c>
      <c r="AF15" s="55" t="s">
        <v>293</v>
      </c>
      <c r="AG15" s="110">
        <v>1474</v>
      </c>
      <c r="AH15" s="110" t="s">
        <v>112</v>
      </c>
      <c r="AI15" s="110">
        <v>3</v>
      </c>
      <c r="AJ15" s="110">
        <v>1</v>
      </c>
      <c r="AK15" s="123" t="s">
        <v>113</v>
      </c>
      <c r="AL15" s="110" t="s">
        <v>114</v>
      </c>
      <c r="AM15" s="31"/>
      <c r="AQ15" s="127" t="s">
        <v>84</v>
      </c>
      <c r="AR15" s="127" t="s">
        <v>191</v>
      </c>
      <c r="AS15" s="85" t="s">
        <v>416</v>
      </c>
      <c r="AT15" s="85">
        <v>0.39</v>
      </c>
      <c r="AU15" s="33">
        <v>63</v>
      </c>
      <c r="AV15" s="33">
        <v>3.5</v>
      </c>
    </row>
    <row r="16" spans="1:48" ht="15.75">
      <c r="A16" s="120">
        <v>2</v>
      </c>
      <c r="B16" s="110" t="s">
        <v>71</v>
      </c>
      <c r="C16" s="110">
        <v>126.3</v>
      </c>
      <c r="D16" s="110" t="s">
        <v>417</v>
      </c>
      <c r="E16" s="110" t="s">
        <v>418</v>
      </c>
      <c r="F16" s="110">
        <v>125.5</v>
      </c>
      <c r="G16" s="110" t="s">
        <v>112</v>
      </c>
      <c r="H16" s="110">
        <v>3</v>
      </c>
      <c r="I16" s="110">
        <v>1</v>
      </c>
      <c r="J16" s="123" t="s">
        <v>113</v>
      </c>
      <c r="K16" s="110" t="s">
        <v>114</v>
      </c>
      <c r="L16" s="124"/>
      <c r="M16" s="47"/>
      <c r="N16" s="120">
        <v>2</v>
      </c>
      <c r="O16" s="110" t="s">
        <v>71</v>
      </c>
      <c r="P16" s="110">
        <v>67.400000000000006</v>
      </c>
      <c r="Q16" s="110" t="s">
        <v>414</v>
      </c>
      <c r="R16" s="110" t="s">
        <v>419</v>
      </c>
      <c r="S16" s="110">
        <v>46</v>
      </c>
      <c r="T16" s="110" t="s">
        <v>112</v>
      </c>
      <c r="U16" s="110">
        <v>3</v>
      </c>
      <c r="V16" s="110">
        <v>1</v>
      </c>
      <c r="W16" s="123" t="s">
        <v>113</v>
      </c>
      <c r="X16" s="110" t="s">
        <v>114</v>
      </c>
      <c r="Y16" s="124"/>
      <c r="Z16" s="47"/>
      <c r="AA16" s="47"/>
      <c r="AB16" s="55">
        <f>1+AB15</f>
        <v>2</v>
      </c>
      <c r="AC16" s="110" t="s">
        <v>71</v>
      </c>
      <c r="AD16" s="31">
        <v>81.099999999999994</v>
      </c>
      <c r="AE16" s="55" t="s">
        <v>293</v>
      </c>
      <c r="AF16" s="55" t="s">
        <v>420</v>
      </c>
      <c r="AG16" s="110">
        <v>138.30000000000001</v>
      </c>
      <c r="AH16" s="110" t="s">
        <v>112</v>
      </c>
      <c r="AI16" s="110">
        <v>3</v>
      </c>
      <c r="AJ16" s="110">
        <v>1</v>
      </c>
      <c r="AK16" s="123" t="s">
        <v>113</v>
      </c>
      <c r="AL16" s="110" t="s">
        <v>114</v>
      </c>
      <c r="AM16" s="31"/>
      <c r="AQ16" s="127" t="s">
        <v>84</v>
      </c>
      <c r="AR16" s="127" t="s">
        <v>191</v>
      </c>
      <c r="AS16" s="87" t="s">
        <v>410</v>
      </c>
      <c r="AT16" s="33"/>
      <c r="AU16" s="33">
        <v>63</v>
      </c>
      <c r="AV16" s="33">
        <v>49</v>
      </c>
    </row>
    <row r="17" spans="1:48" ht="15.75">
      <c r="A17" s="120">
        <f>1+A16</f>
        <v>3</v>
      </c>
      <c r="B17" s="110" t="s">
        <v>71</v>
      </c>
      <c r="C17" s="110">
        <v>56.7</v>
      </c>
      <c r="D17" s="110" t="s">
        <v>421</v>
      </c>
      <c r="E17" s="110" t="s">
        <v>123</v>
      </c>
      <c r="F17" s="110">
        <v>37.4</v>
      </c>
      <c r="G17" s="110" t="s">
        <v>112</v>
      </c>
      <c r="H17" s="110">
        <v>3</v>
      </c>
      <c r="I17" s="110">
        <v>1</v>
      </c>
      <c r="J17" s="123" t="s">
        <v>113</v>
      </c>
      <c r="K17" s="110" t="s">
        <v>114</v>
      </c>
      <c r="L17" s="124"/>
      <c r="M17" s="47"/>
      <c r="N17" s="120">
        <f>1+N16</f>
        <v>3</v>
      </c>
      <c r="O17" s="110" t="s">
        <v>71</v>
      </c>
      <c r="P17" s="110">
        <v>56.7</v>
      </c>
      <c r="Q17" s="110" t="s">
        <v>283</v>
      </c>
      <c r="R17" s="110" t="s">
        <v>315</v>
      </c>
      <c r="S17" s="110">
        <v>50</v>
      </c>
      <c r="T17" s="110" t="s">
        <v>112</v>
      </c>
      <c r="U17" s="110">
        <v>3</v>
      </c>
      <c r="V17" s="110">
        <v>1</v>
      </c>
      <c r="W17" s="123" t="s">
        <v>113</v>
      </c>
      <c r="X17" s="110" t="s">
        <v>114</v>
      </c>
      <c r="Y17" s="124"/>
      <c r="Z17" s="47"/>
      <c r="AA17" s="47"/>
      <c r="AB17" s="55">
        <f t="shared" ref="AB17:AB42" si="0">1+AB16</f>
        <v>3</v>
      </c>
      <c r="AC17" s="110" t="s">
        <v>71</v>
      </c>
      <c r="AD17" s="31">
        <v>81.099999999999994</v>
      </c>
      <c r="AE17" s="55" t="s">
        <v>420</v>
      </c>
      <c r="AF17" s="55" t="s">
        <v>422</v>
      </c>
      <c r="AG17" s="110">
        <v>124.1</v>
      </c>
      <c r="AH17" s="110" t="s">
        <v>112</v>
      </c>
      <c r="AI17" s="110">
        <v>3</v>
      </c>
      <c r="AJ17" s="110">
        <v>1</v>
      </c>
      <c r="AK17" s="123" t="s">
        <v>113</v>
      </c>
      <c r="AL17" s="110" t="s">
        <v>114</v>
      </c>
      <c r="AM17" s="31"/>
      <c r="AQ17" s="128" t="s">
        <v>243</v>
      </c>
      <c r="AR17" s="128" t="s">
        <v>354</v>
      </c>
      <c r="AS17" s="87" t="s">
        <v>410</v>
      </c>
      <c r="AT17" s="33"/>
      <c r="AU17" s="33">
        <v>63</v>
      </c>
      <c r="AV17" s="33">
        <v>17.2</v>
      </c>
    </row>
    <row r="18" spans="1:48" ht="15" customHeight="1">
      <c r="A18" s="120">
        <f t="shared" ref="A18:A49" si="1">1+A17</f>
        <v>4</v>
      </c>
      <c r="B18" s="110" t="s">
        <v>71</v>
      </c>
      <c r="C18" s="110">
        <v>126.3</v>
      </c>
      <c r="D18" s="110" t="s">
        <v>421</v>
      </c>
      <c r="E18" s="110" t="s">
        <v>122</v>
      </c>
      <c r="F18" s="110">
        <v>225.4</v>
      </c>
      <c r="G18" s="110" t="s">
        <v>112</v>
      </c>
      <c r="H18" s="110">
        <v>3</v>
      </c>
      <c r="I18" s="110">
        <v>1</v>
      </c>
      <c r="J18" s="123" t="s">
        <v>113</v>
      </c>
      <c r="K18" s="110" t="s">
        <v>114</v>
      </c>
      <c r="L18" s="124"/>
      <c r="M18" s="47"/>
      <c r="N18" s="120">
        <f t="shared" ref="N18:N67" si="2">1+N17</f>
        <v>4</v>
      </c>
      <c r="O18" s="110" t="s">
        <v>71</v>
      </c>
      <c r="P18" s="110">
        <v>67.400000000000006</v>
      </c>
      <c r="Q18" s="110" t="s">
        <v>283</v>
      </c>
      <c r="R18" s="110" t="s">
        <v>423</v>
      </c>
      <c r="S18" s="110">
        <v>231.5</v>
      </c>
      <c r="T18" s="110" t="s">
        <v>112</v>
      </c>
      <c r="U18" s="110">
        <v>3</v>
      </c>
      <c r="V18" s="110">
        <v>1</v>
      </c>
      <c r="W18" s="123" t="s">
        <v>113</v>
      </c>
      <c r="X18" s="110" t="s">
        <v>114</v>
      </c>
      <c r="Y18" s="124"/>
      <c r="Z18" s="47"/>
      <c r="AA18" s="47"/>
      <c r="AB18" s="55">
        <f t="shared" si="0"/>
        <v>4</v>
      </c>
      <c r="AC18" s="110" t="s">
        <v>71</v>
      </c>
      <c r="AD18" s="31">
        <v>56.7</v>
      </c>
      <c r="AE18" s="55" t="s">
        <v>422</v>
      </c>
      <c r="AF18" s="55" t="s">
        <v>424</v>
      </c>
      <c r="AG18" s="110">
        <v>17.2</v>
      </c>
      <c r="AH18" s="110" t="s">
        <v>112</v>
      </c>
      <c r="AI18" s="110">
        <v>3</v>
      </c>
      <c r="AJ18" s="110">
        <v>1</v>
      </c>
      <c r="AK18" s="123" t="s">
        <v>113</v>
      </c>
      <c r="AL18" s="110" t="s">
        <v>114</v>
      </c>
      <c r="AM18" s="31"/>
      <c r="AQ18" s="127" t="s">
        <v>176</v>
      </c>
      <c r="AR18" s="127" t="s">
        <v>425</v>
      </c>
      <c r="AS18" s="87" t="s">
        <v>410</v>
      </c>
      <c r="AT18" s="33"/>
      <c r="AU18" s="33">
        <v>63</v>
      </c>
      <c r="AV18" s="33">
        <v>210</v>
      </c>
    </row>
    <row r="19" spans="1:48" ht="15.75">
      <c r="A19" s="120">
        <f t="shared" si="1"/>
        <v>5</v>
      </c>
      <c r="B19" s="110" t="s">
        <v>71</v>
      </c>
      <c r="C19" s="110">
        <v>56.7</v>
      </c>
      <c r="D19" s="110" t="s">
        <v>122</v>
      </c>
      <c r="E19" s="110" t="s">
        <v>142</v>
      </c>
      <c r="F19" s="110">
        <v>9</v>
      </c>
      <c r="G19" s="110" t="s">
        <v>112</v>
      </c>
      <c r="H19" s="110">
        <v>3</v>
      </c>
      <c r="I19" s="110">
        <v>1</v>
      </c>
      <c r="J19" s="123" t="s">
        <v>113</v>
      </c>
      <c r="K19" s="110" t="s">
        <v>114</v>
      </c>
      <c r="L19" s="124"/>
      <c r="M19" s="47"/>
      <c r="N19" s="120">
        <f t="shared" si="2"/>
        <v>5</v>
      </c>
      <c r="O19" s="110" t="s">
        <v>71</v>
      </c>
      <c r="P19" s="110">
        <v>56.7</v>
      </c>
      <c r="Q19" s="110" t="s">
        <v>423</v>
      </c>
      <c r="R19" s="110" t="s">
        <v>351</v>
      </c>
      <c r="S19" s="110">
        <v>106.9</v>
      </c>
      <c r="T19" s="110" t="s">
        <v>112</v>
      </c>
      <c r="U19" s="110">
        <v>3</v>
      </c>
      <c r="V19" s="110">
        <v>1</v>
      </c>
      <c r="W19" s="123" t="s">
        <v>113</v>
      </c>
      <c r="X19" s="110" t="s">
        <v>114</v>
      </c>
      <c r="Y19" s="124"/>
      <c r="Z19" s="47"/>
      <c r="AA19" s="47"/>
      <c r="AB19" s="55">
        <f t="shared" si="0"/>
        <v>5</v>
      </c>
      <c r="AC19" s="110" t="s">
        <v>71</v>
      </c>
      <c r="AD19" s="31">
        <v>81.099999999999994</v>
      </c>
      <c r="AE19" s="55" t="s">
        <v>420</v>
      </c>
      <c r="AF19" s="55" t="s">
        <v>333</v>
      </c>
      <c r="AG19" s="110">
        <v>90</v>
      </c>
      <c r="AH19" s="110" t="s">
        <v>112</v>
      </c>
      <c r="AI19" s="110">
        <v>3</v>
      </c>
      <c r="AJ19" s="110">
        <v>1</v>
      </c>
      <c r="AK19" s="123" t="s">
        <v>113</v>
      </c>
      <c r="AL19" s="110" t="s">
        <v>114</v>
      </c>
      <c r="AM19" s="31"/>
      <c r="AQ19" s="127" t="s">
        <v>236</v>
      </c>
      <c r="AR19" s="127" t="s">
        <v>150</v>
      </c>
      <c r="AS19" s="87" t="s">
        <v>410</v>
      </c>
      <c r="AT19" s="33"/>
      <c r="AU19" s="33">
        <v>63</v>
      </c>
      <c r="AV19" s="33">
        <v>62</v>
      </c>
    </row>
    <row r="20" spans="1:48" ht="15.75">
      <c r="A20" s="120">
        <f t="shared" si="1"/>
        <v>6</v>
      </c>
      <c r="B20" s="110" t="s">
        <v>71</v>
      </c>
      <c r="C20" s="110">
        <v>126.3</v>
      </c>
      <c r="D20" s="110" t="s">
        <v>122</v>
      </c>
      <c r="E20" s="110" t="s">
        <v>149</v>
      </c>
      <c r="F20" s="110">
        <v>90.8</v>
      </c>
      <c r="G20" s="110" t="s">
        <v>112</v>
      </c>
      <c r="H20" s="110">
        <v>3</v>
      </c>
      <c r="I20" s="110">
        <v>1</v>
      </c>
      <c r="J20" s="123" t="s">
        <v>113</v>
      </c>
      <c r="K20" s="110" t="s">
        <v>114</v>
      </c>
      <c r="L20" s="124"/>
      <c r="M20" s="47"/>
      <c r="N20" s="120">
        <f t="shared" si="2"/>
        <v>6</v>
      </c>
      <c r="O20" s="110" t="s">
        <v>71</v>
      </c>
      <c r="P20" s="110">
        <v>126.3</v>
      </c>
      <c r="Q20" s="110" t="s">
        <v>414</v>
      </c>
      <c r="R20" s="110" t="s">
        <v>426</v>
      </c>
      <c r="S20" s="110">
        <v>88.9</v>
      </c>
      <c r="T20" s="110" t="s">
        <v>112</v>
      </c>
      <c r="U20" s="110">
        <v>3</v>
      </c>
      <c r="V20" s="110">
        <v>1</v>
      </c>
      <c r="W20" s="123" t="s">
        <v>113</v>
      </c>
      <c r="X20" s="110" t="s">
        <v>114</v>
      </c>
      <c r="Y20" s="124"/>
      <c r="Z20" s="47"/>
      <c r="AA20" s="47"/>
      <c r="AB20" s="55">
        <f t="shared" si="0"/>
        <v>6</v>
      </c>
      <c r="AC20" s="110" t="s">
        <v>71</v>
      </c>
      <c r="AD20" s="31">
        <v>67.400000000000006</v>
      </c>
      <c r="AE20" s="55" t="s">
        <v>333</v>
      </c>
      <c r="AF20" s="55" t="s">
        <v>427</v>
      </c>
      <c r="AG20" s="110">
        <v>24.3</v>
      </c>
      <c r="AH20" s="110" t="s">
        <v>112</v>
      </c>
      <c r="AI20" s="110">
        <v>3</v>
      </c>
      <c r="AJ20" s="110">
        <v>1</v>
      </c>
      <c r="AK20" s="123" t="s">
        <v>113</v>
      </c>
      <c r="AL20" s="110" t="s">
        <v>114</v>
      </c>
      <c r="AM20" s="31"/>
      <c r="AN20">
        <f>73+221+241</f>
        <v>535</v>
      </c>
      <c r="AQ20" s="127" t="s">
        <v>150</v>
      </c>
      <c r="AR20" s="127" t="s">
        <v>135</v>
      </c>
      <c r="AS20" s="87" t="s">
        <v>410</v>
      </c>
      <c r="AT20" s="33"/>
      <c r="AU20" s="33">
        <v>63</v>
      </c>
      <c r="AV20" s="33">
        <v>68</v>
      </c>
    </row>
    <row r="21" spans="1:48" ht="15.75">
      <c r="A21" s="120">
        <f t="shared" si="1"/>
        <v>7</v>
      </c>
      <c r="B21" s="110" t="s">
        <v>71</v>
      </c>
      <c r="C21" s="110">
        <v>126.3</v>
      </c>
      <c r="D21" s="110" t="s">
        <v>363</v>
      </c>
      <c r="E21" s="110" t="s">
        <v>367</v>
      </c>
      <c r="F21" s="110">
        <v>44.9</v>
      </c>
      <c r="G21" s="110" t="s">
        <v>112</v>
      </c>
      <c r="H21" s="110">
        <v>3</v>
      </c>
      <c r="I21" s="110">
        <v>1</v>
      </c>
      <c r="J21" s="123" t="s">
        <v>113</v>
      </c>
      <c r="K21" s="110" t="s">
        <v>114</v>
      </c>
      <c r="L21" s="124"/>
      <c r="M21" s="47"/>
      <c r="N21" s="120">
        <f t="shared" si="2"/>
        <v>7</v>
      </c>
      <c r="O21" s="110" t="s">
        <v>71</v>
      </c>
      <c r="P21" s="110">
        <v>126.3</v>
      </c>
      <c r="Q21" s="110" t="s">
        <v>426</v>
      </c>
      <c r="R21" s="110" t="s">
        <v>307</v>
      </c>
      <c r="S21" s="110">
        <v>181.6</v>
      </c>
      <c r="T21" s="110" t="s">
        <v>112</v>
      </c>
      <c r="U21" s="110">
        <v>3</v>
      </c>
      <c r="V21" s="110">
        <v>1</v>
      </c>
      <c r="W21" s="123" t="s">
        <v>113</v>
      </c>
      <c r="X21" s="110" t="s">
        <v>114</v>
      </c>
      <c r="Y21" s="124"/>
      <c r="Z21" s="47"/>
      <c r="AA21" s="47"/>
      <c r="AB21" s="55">
        <f t="shared" si="0"/>
        <v>7</v>
      </c>
      <c r="AC21" s="110" t="s">
        <v>71</v>
      </c>
      <c r="AD21" s="31">
        <v>67.400000000000006</v>
      </c>
      <c r="AE21" s="55" t="s">
        <v>427</v>
      </c>
      <c r="AF21" s="55" t="s">
        <v>428</v>
      </c>
      <c r="AG21" s="110">
        <v>23.6</v>
      </c>
      <c r="AH21" s="110" t="s">
        <v>112</v>
      </c>
      <c r="AI21" s="110">
        <v>3</v>
      </c>
      <c r="AJ21" s="110">
        <v>1</v>
      </c>
      <c r="AK21" s="123" t="s">
        <v>113</v>
      </c>
      <c r="AL21" s="110" t="s">
        <v>114</v>
      </c>
      <c r="AM21" s="31"/>
      <c r="AQ21" s="127" t="s">
        <v>429</v>
      </c>
      <c r="AR21" s="127" t="s">
        <v>430</v>
      </c>
      <c r="AS21" s="87" t="s">
        <v>410</v>
      </c>
      <c r="AT21" s="33"/>
      <c r="AU21" s="33">
        <v>63</v>
      </c>
      <c r="AV21" s="33">
        <v>6.2</v>
      </c>
    </row>
    <row r="22" spans="1:48" ht="15.75">
      <c r="A22" s="120">
        <f t="shared" si="1"/>
        <v>8</v>
      </c>
      <c r="B22" s="110" t="s">
        <v>71</v>
      </c>
      <c r="C22" s="110">
        <v>126.3</v>
      </c>
      <c r="D22" s="55" t="s">
        <v>367</v>
      </c>
      <c r="E22" s="55" t="s">
        <v>339</v>
      </c>
      <c r="F22" s="55">
        <v>100.3</v>
      </c>
      <c r="G22" s="110" t="s">
        <v>112</v>
      </c>
      <c r="H22" s="110">
        <v>3</v>
      </c>
      <c r="I22" s="110">
        <v>1</v>
      </c>
      <c r="J22" s="123" t="s">
        <v>113</v>
      </c>
      <c r="K22" s="110" t="s">
        <v>114</v>
      </c>
      <c r="L22" s="125"/>
      <c r="M22" s="47"/>
      <c r="N22" s="120">
        <f t="shared" si="2"/>
        <v>8</v>
      </c>
      <c r="O22" s="110" t="s">
        <v>71</v>
      </c>
      <c r="P22" s="110">
        <v>99.3</v>
      </c>
      <c r="Q22" s="55" t="s">
        <v>426</v>
      </c>
      <c r="R22" s="55" t="s">
        <v>431</v>
      </c>
      <c r="S22" s="55">
        <v>19</v>
      </c>
      <c r="T22" s="110" t="s">
        <v>112</v>
      </c>
      <c r="U22" s="110">
        <v>3</v>
      </c>
      <c r="V22" s="110">
        <v>1</v>
      </c>
      <c r="W22" s="123" t="s">
        <v>113</v>
      </c>
      <c r="X22" s="110" t="s">
        <v>114</v>
      </c>
      <c r="Y22" s="125"/>
      <c r="Z22" s="47"/>
      <c r="AA22" s="47"/>
      <c r="AB22" s="55">
        <f t="shared" si="0"/>
        <v>8</v>
      </c>
      <c r="AC22" s="110" t="s">
        <v>71</v>
      </c>
      <c r="AD22" s="31">
        <v>56.7</v>
      </c>
      <c r="AE22" s="55" t="s">
        <v>333</v>
      </c>
      <c r="AF22" s="55" t="s">
        <v>432</v>
      </c>
      <c r="AG22" s="110">
        <v>210</v>
      </c>
      <c r="AH22" s="110" t="s">
        <v>112</v>
      </c>
      <c r="AI22" s="110">
        <v>3</v>
      </c>
      <c r="AJ22" s="110">
        <v>1</v>
      </c>
      <c r="AK22" s="123" t="s">
        <v>113</v>
      </c>
      <c r="AL22" s="110" t="s">
        <v>114</v>
      </c>
      <c r="AM22" s="31"/>
      <c r="AQ22" s="127" t="s">
        <v>429</v>
      </c>
      <c r="AR22" s="127" t="s">
        <v>430</v>
      </c>
      <c r="AS22" s="87" t="s">
        <v>410</v>
      </c>
      <c r="AT22" s="33"/>
      <c r="AU22" s="33">
        <v>63</v>
      </c>
      <c r="AV22" s="33">
        <v>120</v>
      </c>
    </row>
    <row r="23" spans="1:48" ht="15.75">
      <c r="A23" s="120">
        <f t="shared" si="1"/>
        <v>9</v>
      </c>
      <c r="B23" s="110" t="s">
        <v>71</v>
      </c>
      <c r="C23" s="55">
        <v>56.7</v>
      </c>
      <c r="D23" s="55" t="s">
        <v>339</v>
      </c>
      <c r="E23" s="55" t="s">
        <v>367</v>
      </c>
      <c r="F23" s="55">
        <v>83</v>
      </c>
      <c r="G23" s="110" t="s">
        <v>112</v>
      </c>
      <c r="H23" s="110">
        <v>3</v>
      </c>
      <c r="I23" s="110">
        <v>1</v>
      </c>
      <c r="J23" s="123" t="s">
        <v>113</v>
      </c>
      <c r="K23" s="110" t="s">
        <v>114</v>
      </c>
      <c r="L23" s="125"/>
      <c r="M23" s="47"/>
      <c r="N23" s="120">
        <f t="shared" si="2"/>
        <v>9</v>
      </c>
      <c r="O23" s="110" t="s">
        <v>71</v>
      </c>
      <c r="P23" s="55">
        <v>99.3</v>
      </c>
      <c r="Q23" s="55" t="s">
        <v>431</v>
      </c>
      <c r="R23" s="55" t="s">
        <v>302</v>
      </c>
      <c r="S23" s="55">
        <v>58</v>
      </c>
      <c r="T23" s="110" t="s">
        <v>112</v>
      </c>
      <c r="U23" s="110">
        <v>3</v>
      </c>
      <c r="V23" s="110">
        <v>1</v>
      </c>
      <c r="W23" s="123" t="s">
        <v>113</v>
      </c>
      <c r="X23" s="110" t="s">
        <v>114</v>
      </c>
      <c r="Y23" s="125"/>
      <c r="Z23" s="47"/>
      <c r="AA23" s="47"/>
      <c r="AB23" s="55">
        <f t="shared" si="0"/>
        <v>9</v>
      </c>
      <c r="AC23" s="110" t="s">
        <v>71</v>
      </c>
      <c r="AD23" s="31">
        <v>81.099999999999994</v>
      </c>
      <c r="AE23" s="55" t="s">
        <v>293</v>
      </c>
      <c r="AF23" s="55" t="s">
        <v>299</v>
      </c>
      <c r="AG23" s="110">
        <v>89.5</v>
      </c>
      <c r="AH23" s="110" t="s">
        <v>112</v>
      </c>
      <c r="AI23" s="110">
        <v>3</v>
      </c>
      <c r="AJ23" s="110">
        <v>1</v>
      </c>
      <c r="AK23" s="123" t="s">
        <v>113</v>
      </c>
      <c r="AL23" s="110" t="s">
        <v>114</v>
      </c>
      <c r="AM23" s="31"/>
      <c r="AQ23" s="127" t="s">
        <v>84</v>
      </c>
      <c r="AR23" s="127" t="s">
        <v>433</v>
      </c>
      <c r="AS23" s="87" t="s">
        <v>410</v>
      </c>
      <c r="AT23" s="33"/>
      <c r="AU23" s="33">
        <v>63</v>
      </c>
      <c r="AV23" s="33">
        <v>227.7</v>
      </c>
    </row>
    <row r="24" spans="1:48" ht="15.75">
      <c r="A24" s="120">
        <f t="shared" si="1"/>
        <v>10</v>
      </c>
      <c r="B24" s="110" t="s">
        <v>71</v>
      </c>
      <c r="C24" s="55">
        <v>126.3</v>
      </c>
      <c r="D24" s="55" t="s">
        <v>339</v>
      </c>
      <c r="E24" s="55" t="s">
        <v>336</v>
      </c>
      <c r="F24" s="55">
        <v>31</v>
      </c>
      <c r="G24" s="110" t="s">
        <v>112</v>
      </c>
      <c r="H24" s="110">
        <v>3</v>
      </c>
      <c r="I24" s="110">
        <v>1</v>
      </c>
      <c r="J24" s="123" t="s">
        <v>113</v>
      </c>
      <c r="K24" s="110" t="s">
        <v>114</v>
      </c>
      <c r="L24" s="125"/>
      <c r="M24" s="47"/>
      <c r="N24" s="120">
        <f t="shared" si="2"/>
        <v>10</v>
      </c>
      <c r="O24" s="110" t="s">
        <v>71</v>
      </c>
      <c r="P24" s="55">
        <v>56.7</v>
      </c>
      <c r="Q24" s="55" t="s">
        <v>302</v>
      </c>
      <c r="R24" s="55" t="s">
        <v>434</v>
      </c>
      <c r="S24" s="55">
        <v>55</v>
      </c>
      <c r="T24" s="110" t="s">
        <v>112</v>
      </c>
      <c r="U24" s="110">
        <v>3</v>
      </c>
      <c r="V24" s="110">
        <v>1</v>
      </c>
      <c r="W24" s="123" t="s">
        <v>113</v>
      </c>
      <c r="X24" s="110" t="s">
        <v>114</v>
      </c>
      <c r="Y24" s="125"/>
      <c r="Z24" s="47"/>
      <c r="AA24" s="47"/>
      <c r="AB24" s="55">
        <f t="shared" si="0"/>
        <v>10</v>
      </c>
      <c r="AC24" s="110" t="s">
        <v>71</v>
      </c>
      <c r="AD24" s="31">
        <v>67.400000000000006</v>
      </c>
      <c r="AE24" s="55" t="s">
        <v>299</v>
      </c>
      <c r="AF24" s="55" t="s">
        <v>435</v>
      </c>
      <c r="AG24" s="110">
        <v>74</v>
      </c>
      <c r="AH24" s="110" t="s">
        <v>112</v>
      </c>
      <c r="AI24" s="110">
        <v>3</v>
      </c>
      <c r="AJ24" s="110">
        <v>1</v>
      </c>
      <c r="AK24" s="123" t="s">
        <v>113</v>
      </c>
      <c r="AL24" s="110" t="s">
        <v>114</v>
      </c>
      <c r="AM24" s="31"/>
      <c r="AQ24" s="127" t="s">
        <v>436</v>
      </c>
      <c r="AR24" s="127" t="s">
        <v>437</v>
      </c>
      <c r="AS24" s="87" t="s">
        <v>410</v>
      </c>
      <c r="AT24" s="33"/>
      <c r="AU24" s="33">
        <v>63</v>
      </c>
      <c r="AV24" s="33">
        <v>11</v>
      </c>
    </row>
    <row r="25" spans="1:48" ht="15.75">
      <c r="A25" s="120">
        <f t="shared" si="1"/>
        <v>11</v>
      </c>
      <c r="B25" s="110" t="s">
        <v>71</v>
      </c>
      <c r="C25" s="55">
        <v>126.3</v>
      </c>
      <c r="D25" s="55" t="s">
        <v>336</v>
      </c>
      <c r="E25" s="55" t="s">
        <v>330</v>
      </c>
      <c r="F25" s="55">
        <v>314.8</v>
      </c>
      <c r="G25" s="110" t="s">
        <v>112</v>
      </c>
      <c r="H25" s="110">
        <v>3</v>
      </c>
      <c r="I25" s="110">
        <v>1</v>
      </c>
      <c r="J25" s="123" t="s">
        <v>113</v>
      </c>
      <c r="K25" s="110" t="s">
        <v>114</v>
      </c>
      <c r="L25" s="125"/>
      <c r="M25" s="47"/>
      <c r="N25" s="120">
        <f t="shared" si="2"/>
        <v>11</v>
      </c>
      <c r="O25" s="110" t="s">
        <v>71</v>
      </c>
      <c r="P25" s="55">
        <v>56.7</v>
      </c>
      <c r="Q25" s="55" t="s">
        <v>438</v>
      </c>
      <c r="R25" s="55" t="s">
        <v>439</v>
      </c>
      <c r="S25" s="55">
        <v>28.7</v>
      </c>
      <c r="T25" s="110" t="s">
        <v>112</v>
      </c>
      <c r="U25" s="110">
        <v>3</v>
      </c>
      <c r="V25" s="110">
        <v>1</v>
      </c>
      <c r="W25" s="123" t="s">
        <v>113</v>
      </c>
      <c r="X25" s="110" t="s">
        <v>114</v>
      </c>
      <c r="Y25" s="125"/>
      <c r="Z25" s="47"/>
      <c r="AA25" s="47"/>
      <c r="AB25" s="55">
        <f t="shared" si="0"/>
        <v>11</v>
      </c>
      <c r="AC25" s="110" t="s">
        <v>71</v>
      </c>
      <c r="AD25" s="31">
        <v>56.7</v>
      </c>
      <c r="AE25" s="55" t="s">
        <v>435</v>
      </c>
      <c r="AF25" s="55" t="s">
        <v>328</v>
      </c>
      <c r="AG25" s="110">
        <v>62</v>
      </c>
      <c r="AH25" s="110" t="s">
        <v>112</v>
      </c>
      <c r="AI25" s="110">
        <v>3</v>
      </c>
      <c r="AJ25" s="110">
        <v>1</v>
      </c>
      <c r="AK25" s="123" t="s">
        <v>113</v>
      </c>
      <c r="AL25" s="110" t="s">
        <v>114</v>
      </c>
      <c r="AM25" s="31"/>
      <c r="AQ25" s="127" t="s">
        <v>194</v>
      </c>
      <c r="AR25" s="127" t="s">
        <v>275</v>
      </c>
      <c r="AS25" s="87" t="s">
        <v>410</v>
      </c>
      <c r="AT25" s="85"/>
      <c r="AU25" s="33">
        <v>63</v>
      </c>
      <c r="AV25" s="33">
        <v>84.6</v>
      </c>
    </row>
    <row r="26" spans="1:48" ht="15.75">
      <c r="A26" s="120">
        <f t="shared" si="1"/>
        <v>12</v>
      </c>
      <c r="B26" s="110" t="s">
        <v>71</v>
      </c>
      <c r="C26" s="55">
        <v>67.400000000000006</v>
      </c>
      <c r="D26" s="55" t="s">
        <v>330</v>
      </c>
      <c r="E26" s="55" t="s">
        <v>440</v>
      </c>
      <c r="F26" s="55">
        <v>68.2</v>
      </c>
      <c r="G26" s="110" t="s">
        <v>112</v>
      </c>
      <c r="H26" s="110">
        <v>3</v>
      </c>
      <c r="I26" s="110">
        <v>1</v>
      </c>
      <c r="J26" s="123" t="s">
        <v>113</v>
      </c>
      <c r="K26" s="110" t="s">
        <v>114</v>
      </c>
      <c r="L26" s="125"/>
      <c r="M26" s="47"/>
      <c r="N26" s="120">
        <f t="shared" si="2"/>
        <v>12</v>
      </c>
      <c r="O26" s="110" t="s">
        <v>71</v>
      </c>
      <c r="P26" s="55">
        <v>99.3</v>
      </c>
      <c r="Q26" s="55" t="s">
        <v>302</v>
      </c>
      <c r="R26" s="55" t="s">
        <v>295</v>
      </c>
      <c r="S26" s="55">
        <v>75</v>
      </c>
      <c r="T26" s="110" t="s">
        <v>112</v>
      </c>
      <c r="U26" s="110">
        <v>3</v>
      </c>
      <c r="V26" s="110">
        <v>1</v>
      </c>
      <c r="W26" s="123" t="s">
        <v>113</v>
      </c>
      <c r="X26" s="110" t="s">
        <v>114</v>
      </c>
      <c r="Y26" s="125"/>
      <c r="Z26" s="47"/>
      <c r="AA26" s="47"/>
      <c r="AB26" s="55">
        <f t="shared" si="0"/>
        <v>12</v>
      </c>
      <c r="AC26" s="110" t="s">
        <v>71</v>
      </c>
      <c r="AD26" s="31">
        <v>67.400000000000006</v>
      </c>
      <c r="AE26" s="55" t="s">
        <v>299</v>
      </c>
      <c r="AF26" s="55" t="s">
        <v>441</v>
      </c>
      <c r="AG26" s="110">
        <v>74.5</v>
      </c>
      <c r="AH26" s="110" t="s">
        <v>112</v>
      </c>
      <c r="AI26" s="110">
        <v>3</v>
      </c>
      <c r="AJ26" s="110">
        <v>1</v>
      </c>
      <c r="AK26" s="123" t="s">
        <v>113</v>
      </c>
      <c r="AL26" s="110" t="s">
        <v>114</v>
      </c>
      <c r="AM26" s="31"/>
      <c r="AQ26" s="127" t="s">
        <v>442</v>
      </c>
      <c r="AR26" s="127" t="s">
        <v>443</v>
      </c>
      <c r="AS26" s="87" t="s">
        <v>410</v>
      </c>
      <c r="AT26" s="33"/>
      <c r="AU26" s="33">
        <v>63</v>
      </c>
      <c r="AV26" s="33">
        <v>47.4</v>
      </c>
    </row>
    <row r="27" spans="1:48" ht="15.75">
      <c r="A27" s="120">
        <f t="shared" si="1"/>
        <v>13</v>
      </c>
      <c r="B27" s="110" t="s">
        <v>71</v>
      </c>
      <c r="C27" s="55">
        <v>67.400000000000006</v>
      </c>
      <c r="D27" s="55" t="s">
        <v>440</v>
      </c>
      <c r="E27" s="55" t="s">
        <v>241</v>
      </c>
      <c r="F27" s="55">
        <v>183.2</v>
      </c>
      <c r="G27" s="110" t="s">
        <v>112</v>
      </c>
      <c r="H27" s="110">
        <v>3</v>
      </c>
      <c r="I27" s="110">
        <v>1</v>
      </c>
      <c r="J27" s="123" t="s">
        <v>113</v>
      </c>
      <c r="K27" s="110" t="s">
        <v>114</v>
      </c>
      <c r="L27" s="125"/>
      <c r="M27" s="47"/>
      <c r="N27" s="120">
        <f t="shared" si="2"/>
        <v>13</v>
      </c>
      <c r="O27" s="110" t="s">
        <v>71</v>
      </c>
      <c r="P27" s="55">
        <v>99.3</v>
      </c>
      <c r="Q27" s="55" t="s">
        <v>295</v>
      </c>
      <c r="R27" s="55" t="s">
        <v>444</v>
      </c>
      <c r="S27" s="55">
        <v>57.3</v>
      </c>
      <c r="T27" s="110" t="s">
        <v>112</v>
      </c>
      <c r="U27" s="110">
        <v>3</v>
      </c>
      <c r="V27" s="110">
        <v>1</v>
      </c>
      <c r="W27" s="123" t="s">
        <v>113</v>
      </c>
      <c r="X27" s="110" t="s">
        <v>114</v>
      </c>
      <c r="Y27" s="125"/>
      <c r="Z27" s="47"/>
      <c r="AA27" s="47"/>
      <c r="AB27" s="55">
        <f t="shared" si="0"/>
        <v>13</v>
      </c>
      <c r="AC27" s="110" t="s">
        <v>71</v>
      </c>
      <c r="AD27" s="31">
        <v>67.400000000000006</v>
      </c>
      <c r="AE27" s="55" t="s">
        <v>441</v>
      </c>
      <c r="AF27" s="55" t="s">
        <v>328</v>
      </c>
      <c r="AG27" s="110">
        <v>41.2</v>
      </c>
      <c r="AH27" s="110" t="s">
        <v>112</v>
      </c>
      <c r="AI27" s="110">
        <v>3</v>
      </c>
      <c r="AJ27" s="110">
        <v>1</v>
      </c>
      <c r="AK27" s="123" t="s">
        <v>113</v>
      </c>
      <c r="AL27" s="110" t="s">
        <v>114</v>
      </c>
      <c r="AM27" s="31"/>
      <c r="AQ27" s="127" t="s">
        <v>445</v>
      </c>
      <c r="AR27" s="127" t="s">
        <v>234</v>
      </c>
      <c r="AS27" s="87" t="s">
        <v>410</v>
      </c>
      <c r="AT27" s="85">
        <v>0.39</v>
      </c>
      <c r="AU27" s="33">
        <v>63</v>
      </c>
      <c r="AV27" s="33">
        <v>196.2</v>
      </c>
    </row>
    <row r="28" spans="1:48" ht="15.75">
      <c r="A28" s="120">
        <f t="shared" si="1"/>
        <v>14</v>
      </c>
      <c r="B28" s="110" t="s">
        <v>71</v>
      </c>
      <c r="C28" s="55">
        <v>56.7</v>
      </c>
      <c r="D28" s="55" t="s">
        <v>348</v>
      </c>
      <c r="E28" s="55" t="s">
        <v>446</v>
      </c>
      <c r="F28" s="55">
        <v>60.4</v>
      </c>
      <c r="G28" s="110" t="s">
        <v>112</v>
      </c>
      <c r="H28" s="110">
        <v>3</v>
      </c>
      <c r="I28" s="110">
        <v>1</v>
      </c>
      <c r="J28" s="123" t="s">
        <v>113</v>
      </c>
      <c r="K28" s="110" t="s">
        <v>114</v>
      </c>
      <c r="L28" s="125"/>
      <c r="M28" s="47">
        <v>17.2</v>
      </c>
      <c r="N28" s="120">
        <f t="shared" si="2"/>
        <v>14</v>
      </c>
      <c r="O28" s="110" t="s">
        <v>71</v>
      </c>
      <c r="P28" s="55">
        <v>99.3</v>
      </c>
      <c r="Q28" s="55" t="s">
        <v>444</v>
      </c>
      <c r="R28" s="55" t="s">
        <v>307</v>
      </c>
      <c r="S28" s="55">
        <v>72</v>
      </c>
      <c r="T28" s="110" t="s">
        <v>112</v>
      </c>
      <c r="U28" s="110">
        <v>3</v>
      </c>
      <c r="V28" s="110">
        <v>1</v>
      </c>
      <c r="W28" s="123" t="s">
        <v>113</v>
      </c>
      <c r="X28" s="110" t="s">
        <v>114</v>
      </c>
      <c r="Y28" s="125"/>
      <c r="Z28" s="47"/>
      <c r="AA28" s="47"/>
      <c r="AB28" s="55">
        <f t="shared" si="0"/>
        <v>14</v>
      </c>
      <c r="AC28" s="110" t="s">
        <v>71</v>
      </c>
      <c r="AD28" s="31">
        <v>56.7</v>
      </c>
      <c r="AE28" s="55" t="s">
        <v>328</v>
      </c>
      <c r="AF28" s="55" t="s">
        <v>392</v>
      </c>
      <c r="AG28" s="110">
        <v>68</v>
      </c>
      <c r="AH28" s="110" t="s">
        <v>112</v>
      </c>
      <c r="AI28" s="110">
        <v>3</v>
      </c>
      <c r="AJ28" s="110">
        <v>1</v>
      </c>
      <c r="AK28" s="123" t="s">
        <v>113</v>
      </c>
      <c r="AL28" s="110" t="s">
        <v>114</v>
      </c>
      <c r="AM28" s="31"/>
      <c r="AN28">
        <f>4377+4687.8+3094.3</f>
        <v>12159.099999999999</v>
      </c>
      <c r="AQ28" s="127" t="s">
        <v>445</v>
      </c>
      <c r="AR28" s="127" t="s">
        <v>234</v>
      </c>
      <c r="AS28" s="33" t="s">
        <v>447</v>
      </c>
      <c r="AT28" s="85">
        <v>0.39</v>
      </c>
      <c r="AU28" s="33">
        <v>63</v>
      </c>
      <c r="AV28" s="33">
        <v>100.2</v>
      </c>
    </row>
    <row r="29" spans="1:48" ht="15.75">
      <c r="A29" s="120">
        <f t="shared" si="1"/>
        <v>15</v>
      </c>
      <c r="B29" s="110" t="s">
        <v>71</v>
      </c>
      <c r="C29" s="55">
        <v>56.7</v>
      </c>
      <c r="D29" s="55" t="s">
        <v>348</v>
      </c>
      <c r="E29" s="55" t="s">
        <v>448</v>
      </c>
      <c r="F29" s="55">
        <f>94.2+57</f>
        <v>151.19999999999999</v>
      </c>
      <c r="G29" s="110" t="s">
        <v>112</v>
      </c>
      <c r="H29" s="110">
        <v>3</v>
      </c>
      <c r="I29" s="110">
        <v>1</v>
      </c>
      <c r="J29" s="123" t="s">
        <v>113</v>
      </c>
      <c r="K29" s="110" t="s">
        <v>114</v>
      </c>
      <c r="L29" s="125"/>
      <c r="M29" s="47">
        <v>68.2</v>
      </c>
      <c r="N29" s="120">
        <f t="shared" si="2"/>
        <v>15</v>
      </c>
      <c r="O29" s="110" t="s">
        <v>71</v>
      </c>
      <c r="P29" s="55">
        <v>99.3</v>
      </c>
      <c r="Q29" s="55" t="s">
        <v>431</v>
      </c>
      <c r="R29" s="55" t="s">
        <v>449</v>
      </c>
      <c r="S29" s="55">
        <v>94</v>
      </c>
      <c r="T29" s="110" t="s">
        <v>112</v>
      </c>
      <c r="U29" s="110">
        <v>3</v>
      </c>
      <c r="V29" s="110">
        <v>1</v>
      </c>
      <c r="W29" s="123" t="s">
        <v>113</v>
      </c>
      <c r="X29" s="110" t="s">
        <v>114</v>
      </c>
      <c r="Y29" s="125"/>
      <c r="Z29" s="47"/>
      <c r="AA29" s="47"/>
      <c r="AB29" s="55">
        <f t="shared" si="0"/>
        <v>15</v>
      </c>
      <c r="AC29" s="110" t="s">
        <v>71</v>
      </c>
      <c r="AD29" s="31">
        <v>56.7</v>
      </c>
      <c r="AE29" s="110" t="s">
        <v>413</v>
      </c>
      <c r="AF29" s="110" t="s">
        <v>450</v>
      </c>
      <c r="AG29" s="110">
        <v>13</v>
      </c>
      <c r="AH29" s="110" t="s">
        <v>112</v>
      </c>
      <c r="AI29" s="110">
        <v>3</v>
      </c>
      <c r="AJ29" s="110">
        <v>1</v>
      </c>
      <c r="AK29" s="123" t="s">
        <v>113</v>
      </c>
      <c r="AL29" s="110" t="s">
        <v>114</v>
      </c>
      <c r="AM29" s="31"/>
      <c r="AQ29" s="127" t="s">
        <v>198</v>
      </c>
      <c r="AR29" s="127" t="s">
        <v>451</v>
      </c>
      <c r="AS29" s="87" t="s">
        <v>410</v>
      </c>
      <c r="AT29" s="33"/>
      <c r="AU29" s="33">
        <v>63</v>
      </c>
      <c r="AV29" s="33">
        <v>3.2</v>
      </c>
    </row>
    <row r="30" spans="1:48" ht="15.75">
      <c r="A30" s="120">
        <f t="shared" si="1"/>
        <v>16</v>
      </c>
      <c r="B30" s="110" t="s">
        <v>71</v>
      </c>
      <c r="C30" s="55">
        <v>56.7</v>
      </c>
      <c r="D30" s="55" t="s">
        <v>448</v>
      </c>
      <c r="E30" s="55" t="s">
        <v>452</v>
      </c>
      <c r="F30" s="55">
        <v>203</v>
      </c>
      <c r="G30" s="110" t="s">
        <v>112</v>
      </c>
      <c r="H30" s="110">
        <v>3</v>
      </c>
      <c r="I30" s="110">
        <v>1</v>
      </c>
      <c r="J30" s="123" t="s">
        <v>113</v>
      </c>
      <c r="K30" s="110" t="s">
        <v>114</v>
      </c>
      <c r="L30" s="125"/>
      <c r="M30" s="47">
        <v>36.5</v>
      </c>
      <c r="N30" s="120">
        <f t="shared" si="2"/>
        <v>16</v>
      </c>
      <c r="O30" s="110" t="s">
        <v>71</v>
      </c>
      <c r="P30" s="55">
        <v>126.3</v>
      </c>
      <c r="Q30" s="55" t="s">
        <v>307</v>
      </c>
      <c r="R30" s="55" t="s">
        <v>453</v>
      </c>
      <c r="S30" s="55">
        <v>76</v>
      </c>
      <c r="T30" s="110" t="s">
        <v>112</v>
      </c>
      <c r="U30" s="110">
        <v>3</v>
      </c>
      <c r="V30" s="110">
        <v>1</v>
      </c>
      <c r="W30" s="123" t="s">
        <v>113</v>
      </c>
      <c r="X30" s="110" t="s">
        <v>114</v>
      </c>
      <c r="Y30" s="125"/>
      <c r="Z30" s="47"/>
      <c r="AA30" s="47"/>
      <c r="AB30" s="55">
        <f t="shared" si="0"/>
        <v>16</v>
      </c>
      <c r="AC30" s="110" t="s">
        <v>71</v>
      </c>
      <c r="AD30" s="31">
        <v>56.7</v>
      </c>
      <c r="AE30" s="110" t="s">
        <v>450</v>
      </c>
      <c r="AF30" s="110" t="s">
        <v>454</v>
      </c>
      <c r="AG30" s="110">
        <v>42.4</v>
      </c>
      <c r="AH30" s="110" t="s">
        <v>112</v>
      </c>
      <c r="AI30" s="110">
        <v>3</v>
      </c>
      <c r="AJ30" s="110">
        <v>1</v>
      </c>
      <c r="AK30" s="123" t="s">
        <v>113</v>
      </c>
      <c r="AL30" s="110" t="s">
        <v>114</v>
      </c>
      <c r="AM30" s="31"/>
      <c r="AQ30" s="127" t="s">
        <v>198</v>
      </c>
      <c r="AR30" s="127" t="s">
        <v>451</v>
      </c>
      <c r="AS30" s="33" t="s">
        <v>447</v>
      </c>
      <c r="AT30" s="85">
        <v>0.39</v>
      </c>
      <c r="AU30" s="33">
        <v>63</v>
      </c>
      <c r="AV30" s="33">
        <v>51.2</v>
      </c>
    </row>
    <row r="31" spans="1:48" ht="15.75">
      <c r="A31" s="120">
        <f t="shared" si="1"/>
        <v>17</v>
      </c>
      <c r="B31" s="110" t="s">
        <v>71</v>
      </c>
      <c r="C31" s="55">
        <v>126.3</v>
      </c>
      <c r="D31" s="55" t="s">
        <v>455</v>
      </c>
      <c r="E31" s="55" t="s">
        <v>383</v>
      </c>
      <c r="F31" s="55">
        <v>146.1</v>
      </c>
      <c r="G31" s="110" t="s">
        <v>112</v>
      </c>
      <c r="H31" s="110">
        <v>3</v>
      </c>
      <c r="I31" s="110">
        <v>1</v>
      </c>
      <c r="J31" s="123" t="s">
        <v>113</v>
      </c>
      <c r="K31" s="110" t="s">
        <v>114</v>
      </c>
      <c r="L31" s="125"/>
      <c r="M31" s="47">
        <v>21.8</v>
      </c>
      <c r="N31" s="120">
        <f t="shared" si="2"/>
        <v>17</v>
      </c>
      <c r="O31" s="110" t="s">
        <v>71</v>
      </c>
      <c r="P31" s="55">
        <v>99.3</v>
      </c>
      <c r="Q31" s="55" t="s">
        <v>295</v>
      </c>
      <c r="R31" s="55" t="s">
        <v>298</v>
      </c>
      <c r="S31" s="55">
        <v>127.5</v>
      </c>
      <c r="T31" s="110" t="s">
        <v>112</v>
      </c>
      <c r="U31" s="110">
        <v>3</v>
      </c>
      <c r="V31" s="110">
        <v>1</v>
      </c>
      <c r="W31" s="123" t="s">
        <v>113</v>
      </c>
      <c r="X31" s="110" t="s">
        <v>114</v>
      </c>
      <c r="Y31" s="125"/>
      <c r="Z31" s="47"/>
      <c r="AA31" s="47"/>
      <c r="AB31" s="55">
        <f t="shared" si="0"/>
        <v>17</v>
      </c>
      <c r="AC31" s="110" t="s">
        <v>71</v>
      </c>
      <c r="AD31" s="31">
        <v>56.7</v>
      </c>
      <c r="AE31" s="110" t="s">
        <v>456</v>
      </c>
      <c r="AF31" s="110" t="s">
        <v>457</v>
      </c>
      <c r="AG31" s="110">
        <v>27.5</v>
      </c>
      <c r="AH31" s="110" t="s">
        <v>112</v>
      </c>
      <c r="AI31" s="110">
        <v>3</v>
      </c>
      <c r="AJ31" s="110">
        <v>1</v>
      </c>
      <c r="AK31" s="123" t="s">
        <v>113</v>
      </c>
      <c r="AL31" s="110" t="s">
        <v>114</v>
      </c>
      <c r="AM31" s="31"/>
      <c r="AQ31" s="127" t="s">
        <v>319</v>
      </c>
      <c r="AR31" s="127" t="s">
        <v>233</v>
      </c>
      <c r="AS31" s="87" t="s">
        <v>410</v>
      </c>
      <c r="AT31" s="33"/>
      <c r="AU31" s="33">
        <v>63</v>
      </c>
      <c r="AV31" s="33">
        <v>12.5</v>
      </c>
    </row>
    <row r="32" spans="1:48" ht="15.75">
      <c r="A32" s="120">
        <f t="shared" si="1"/>
        <v>18</v>
      </c>
      <c r="B32" s="110" t="s">
        <v>71</v>
      </c>
      <c r="C32" s="55">
        <v>126.3</v>
      </c>
      <c r="D32" s="55" t="s">
        <v>383</v>
      </c>
      <c r="E32" s="55" t="s">
        <v>458</v>
      </c>
      <c r="F32" s="55">
        <v>272</v>
      </c>
      <c r="G32" s="110" t="s">
        <v>112</v>
      </c>
      <c r="H32" s="110">
        <v>3</v>
      </c>
      <c r="I32" s="110">
        <v>1</v>
      </c>
      <c r="J32" s="123" t="s">
        <v>113</v>
      </c>
      <c r="K32" s="110" t="s">
        <v>114</v>
      </c>
      <c r="L32" s="125"/>
      <c r="M32" s="47">
        <v>30</v>
      </c>
      <c r="N32" s="120">
        <f t="shared" si="2"/>
        <v>18</v>
      </c>
      <c r="O32" s="110" t="s">
        <v>71</v>
      </c>
      <c r="P32" s="55">
        <v>99.3</v>
      </c>
      <c r="Q32" s="55" t="s">
        <v>298</v>
      </c>
      <c r="R32" s="55" t="s">
        <v>365</v>
      </c>
      <c r="S32" s="55">
        <v>145.5</v>
      </c>
      <c r="T32" s="110" t="s">
        <v>112</v>
      </c>
      <c r="U32" s="110">
        <v>3</v>
      </c>
      <c r="V32" s="110">
        <v>1</v>
      </c>
      <c r="W32" s="123" t="s">
        <v>113</v>
      </c>
      <c r="X32" s="110" t="s">
        <v>114</v>
      </c>
      <c r="Y32" s="125"/>
      <c r="Z32" s="47"/>
      <c r="AA32" s="47"/>
      <c r="AB32" s="55">
        <f t="shared" si="0"/>
        <v>18</v>
      </c>
      <c r="AC32" s="110" t="s">
        <v>71</v>
      </c>
      <c r="AD32" s="31">
        <v>56.7</v>
      </c>
      <c r="AE32" s="110" t="s">
        <v>459</v>
      </c>
      <c r="AF32" s="110" t="s">
        <v>460</v>
      </c>
      <c r="AG32" s="110">
        <v>3.5</v>
      </c>
      <c r="AH32" s="110" t="s">
        <v>112</v>
      </c>
      <c r="AI32" s="110">
        <v>3</v>
      </c>
      <c r="AJ32" s="110">
        <v>1</v>
      </c>
      <c r="AK32" s="123" t="s">
        <v>113</v>
      </c>
      <c r="AL32" s="110" t="s">
        <v>114</v>
      </c>
      <c r="AM32" s="31"/>
      <c r="AQ32" s="127" t="s">
        <v>233</v>
      </c>
      <c r="AR32" s="127" t="s">
        <v>300</v>
      </c>
      <c r="AS32" s="87" t="s">
        <v>410</v>
      </c>
      <c r="AT32" s="33"/>
      <c r="AU32" s="33">
        <v>63</v>
      </c>
      <c r="AV32" s="33">
        <v>21</v>
      </c>
    </row>
    <row r="33" spans="1:48" ht="15.75">
      <c r="A33" s="120">
        <f t="shared" si="1"/>
        <v>19</v>
      </c>
      <c r="B33" s="110" t="s">
        <v>71</v>
      </c>
      <c r="C33" s="55">
        <v>56.7</v>
      </c>
      <c r="D33" s="55" t="s">
        <v>458</v>
      </c>
      <c r="E33" s="55" t="s">
        <v>461</v>
      </c>
      <c r="F33" s="55">
        <v>84.6</v>
      </c>
      <c r="G33" s="110" t="s">
        <v>112</v>
      </c>
      <c r="H33" s="110">
        <v>3</v>
      </c>
      <c r="I33" s="110">
        <v>1</v>
      </c>
      <c r="J33" s="123" t="s">
        <v>113</v>
      </c>
      <c r="K33" s="110" t="s">
        <v>114</v>
      </c>
      <c r="L33" s="125"/>
      <c r="M33" s="47">
        <v>70.7</v>
      </c>
      <c r="N33" s="120">
        <f t="shared" si="2"/>
        <v>19</v>
      </c>
      <c r="O33" s="110" t="s">
        <v>71</v>
      </c>
      <c r="P33" s="55">
        <v>56.7</v>
      </c>
      <c r="Q33" s="55" t="s">
        <v>365</v>
      </c>
      <c r="R33" s="55" t="s">
        <v>324</v>
      </c>
      <c r="S33" s="55">
        <v>46.8</v>
      </c>
      <c r="T33" s="110" t="s">
        <v>112</v>
      </c>
      <c r="U33" s="110">
        <v>3</v>
      </c>
      <c r="V33" s="110">
        <v>1</v>
      </c>
      <c r="W33" s="123" t="s">
        <v>113</v>
      </c>
      <c r="X33" s="110" t="s">
        <v>114</v>
      </c>
      <c r="Y33" s="125"/>
      <c r="Z33" s="47"/>
      <c r="AA33" s="47"/>
      <c r="AB33" s="55">
        <f t="shared" si="0"/>
        <v>19</v>
      </c>
      <c r="AC33" s="110" t="s">
        <v>71</v>
      </c>
      <c r="AD33" s="31">
        <v>56.7</v>
      </c>
      <c r="AE33" s="110" t="s">
        <v>459</v>
      </c>
      <c r="AF33" s="110">
        <v>109</v>
      </c>
      <c r="AG33" s="110">
        <v>43.4</v>
      </c>
      <c r="AH33" s="110" t="s">
        <v>112</v>
      </c>
      <c r="AI33" s="110">
        <v>3</v>
      </c>
      <c r="AJ33" s="110">
        <v>1</v>
      </c>
      <c r="AK33" s="123" t="s">
        <v>113</v>
      </c>
      <c r="AL33" s="110" t="s">
        <v>114</v>
      </c>
      <c r="AM33" s="31"/>
      <c r="AQ33" s="127" t="s">
        <v>233</v>
      </c>
      <c r="AR33" s="127" t="s">
        <v>310</v>
      </c>
      <c r="AS33" s="87" t="s">
        <v>410</v>
      </c>
      <c r="AT33" s="33"/>
      <c r="AU33" s="33">
        <v>63</v>
      </c>
      <c r="AV33" s="33">
        <v>42</v>
      </c>
    </row>
    <row r="34" spans="1:48" ht="15.75">
      <c r="A34" s="120">
        <f t="shared" si="1"/>
        <v>20</v>
      </c>
      <c r="B34" s="110" t="s">
        <v>71</v>
      </c>
      <c r="C34" s="55">
        <v>56.7</v>
      </c>
      <c r="D34" s="55" t="s">
        <v>461</v>
      </c>
      <c r="E34" s="55" t="s">
        <v>462</v>
      </c>
      <c r="F34" s="55">
        <v>17.600000000000001</v>
      </c>
      <c r="G34" s="110" t="s">
        <v>112</v>
      </c>
      <c r="H34" s="110">
        <v>3</v>
      </c>
      <c r="I34" s="110">
        <v>1</v>
      </c>
      <c r="J34" s="123" t="s">
        <v>113</v>
      </c>
      <c r="K34" s="110" t="s">
        <v>114</v>
      </c>
      <c r="L34" s="125"/>
      <c r="M34" s="47">
        <v>57</v>
      </c>
      <c r="N34" s="120">
        <f t="shared" si="2"/>
        <v>20</v>
      </c>
      <c r="O34" s="110" t="s">
        <v>71</v>
      </c>
      <c r="P34" s="55">
        <v>56.7</v>
      </c>
      <c r="Q34" s="55" t="s">
        <v>365</v>
      </c>
      <c r="R34" s="55" t="s">
        <v>463</v>
      </c>
      <c r="S34" s="55">
        <v>68.7</v>
      </c>
      <c r="T34" s="110" t="s">
        <v>112</v>
      </c>
      <c r="U34" s="110">
        <v>3</v>
      </c>
      <c r="V34" s="110">
        <v>1</v>
      </c>
      <c r="W34" s="123" t="s">
        <v>113</v>
      </c>
      <c r="X34" s="110" t="s">
        <v>114</v>
      </c>
      <c r="Y34" s="125"/>
      <c r="Z34" s="47"/>
      <c r="AA34" s="47"/>
      <c r="AB34" s="55">
        <f t="shared" si="0"/>
        <v>20</v>
      </c>
      <c r="AC34" s="110" t="s">
        <v>71</v>
      </c>
      <c r="AD34" s="31">
        <v>56.7</v>
      </c>
      <c r="AE34" s="110" t="s">
        <v>459</v>
      </c>
      <c r="AF34" s="110" t="s">
        <v>460</v>
      </c>
      <c r="AG34" s="110">
        <v>9</v>
      </c>
      <c r="AH34" s="110" t="s">
        <v>112</v>
      </c>
      <c r="AI34" s="110">
        <v>3</v>
      </c>
      <c r="AJ34" s="110">
        <v>1</v>
      </c>
      <c r="AK34" s="123" t="s">
        <v>113</v>
      </c>
      <c r="AL34" s="110" t="s">
        <v>114</v>
      </c>
      <c r="AM34" s="31"/>
      <c r="AQ34" s="127" t="s">
        <v>350</v>
      </c>
      <c r="AR34" s="127" t="s">
        <v>219</v>
      </c>
      <c r="AS34" s="33" t="s">
        <v>416</v>
      </c>
      <c r="AT34" s="85">
        <v>0.39</v>
      </c>
      <c r="AU34" s="33">
        <v>63</v>
      </c>
      <c r="AV34" s="33">
        <v>3.5</v>
      </c>
    </row>
    <row r="35" spans="1:48" ht="15.75">
      <c r="A35" s="120">
        <f t="shared" si="1"/>
        <v>21</v>
      </c>
      <c r="B35" s="110" t="s">
        <v>71</v>
      </c>
      <c r="C35" s="55">
        <v>126.3</v>
      </c>
      <c r="D35" s="55" t="s">
        <v>458</v>
      </c>
      <c r="E35" s="55" t="s">
        <v>453</v>
      </c>
      <c r="F35" s="55">
        <v>53.7</v>
      </c>
      <c r="G35" s="110" t="s">
        <v>112</v>
      </c>
      <c r="H35" s="110">
        <v>3</v>
      </c>
      <c r="I35" s="110">
        <v>1</v>
      </c>
      <c r="J35" s="123" t="s">
        <v>113</v>
      </c>
      <c r="K35" s="110" t="s">
        <v>114</v>
      </c>
      <c r="L35" s="125"/>
      <c r="M35" s="47"/>
      <c r="N35" s="120">
        <f t="shared" si="2"/>
        <v>21</v>
      </c>
      <c r="O35" s="110" t="s">
        <v>71</v>
      </c>
      <c r="P35" s="55">
        <v>56.7</v>
      </c>
      <c r="Q35" s="55" t="s">
        <v>463</v>
      </c>
      <c r="R35" s="55" t="s">
        <v>464</v>
      </c>
      <c r="S35" s="55">
        <v>45</v>
      </c>
      <c r="T35" s="110" t="s">
        <v>112</v>
      </c>
      <c r="U35" s="110">
        <v>3</v>
      </c>
      <c r="V35" s="110">
        <v>1</v>
      </c>
      <c r="W35" s="123" t="s">
        <v>113</v>
      </c>
      <c r="X35" s="110" t="s">
        <v>114</v>
      </c>
      <c r="Y35" s="125"/>
      <c r="Z35" s="47"/>
      <c r="AA35" s="47"/>
      <c r="AB35" s="55">
        <f t="shared" si="0"/>
        <v>21</v>
      </c>
      <c r="AC35" s="110" t="s">
        <v>71</v>
      </c>
      <c r="AD35" s="31">
        <v>67.400000000000006</v>
      </c>
      <c r="AE35" s="55" t="s">
        <v>456</v>
      </c>
      <c r="AF35" s="55" t="s">
        <v>291</v>
      </c>
      <c r="AG35" s="110">
        <v>50</v>
      </c>
      <c r="AH35" s="110" t="s">
        <v>112</v>
      </c>
      <c r="AI35" s="110">
        <v>3</v>
      </c>
      <c r="AJ35" s="110">
        <v>1</v>
      </c>
      <c r="AK35" s="123" t="s">
        <v>113</v>
      </c>
      <c r="AL35" s="110" t="s">
        <v>114</v>
      </c>
      <c r="AM35" s="31"/>
      <c r="AQ35" s="127" t="s">
        <v>350</v>
      </c>
      <c r="AR35" s="127" t="s">
        <v>219</v>
      </c>
      <c r="AS35" s="33" t="s">
        <v>447</v>
      </c>
      <c r="AT35" s="85">
        <v>0.39</v>
      </c>
      <c r="AU35" s="33">
        <v>63</v>
      </c>
      <c r="AV35" s="33">
        <v>41.3</v>
      </c>
    </row>
    <row r="36" spans="1:48" ht="15.75">
      <c r="A36" s="120">
        <f t="shared" si="1"/>
        <v>22</v>
      </c>
      <c r="B36" s="110" t="s">
        <v>71</v>
      </c>
      <c r="C36" s="55">
        <v>144.4</v>
      </c>
      <c r="D36" s="55" t="s">
        <v>453</v>
      </c>
      <c r="E36" s="55" t="s">
        <v>465</v>
      </c>
      <c r="F36" s="55">
        <v>66.8</v>
      </c>
      <c r="G36" s="110" t="s">
        <v>112</v>
      </c>
      <c r="H36" s="110">
        <v>3</v>
      </c>
      <c r="I36" s="110">
        <v>1</v>
      </c>
      <c r="J36" s="123" t="s">
        <v>113</v>
      </c>
      <c r="K36" s="110" t="s">
        <v>114</v>
      </c>
      <c r="L36" s="125"/>
      <c r="M36" s="47"/>
      <c r="N36" s="120">
        <f t="shared" si="2"/>
        <v>22</v>
      </c>
      <c r="O36" s="110" t="s">
        <v>71</v>
      </c>
      <c r="P36" s="55">
        <v>56.7</v>
      </c>
      <c r="Q36" s="55" t="s">
        <v>463</v>
      </c>
      <c r="R36" s="55" t="s">
        <v>466</v>
      </c>
      <c r="S36" s="55">
        <v>25.1</v>
      </c>
      <c r="T36" s="110" t="s">
        <v>112</v>
      </c>
      <c r="U36" s="110">
        <v>3</v>
      </c>
      <c r="V36" s="110">
        <v>1</v>
      </c>
      <c r="W36" s="123" t="s">
        <v>113</v>
      </c>
      <c r="X36" s="110" t="s">
        <v>114</v>
      </c>
      <c r="Y36" s="125"/>
      <c r="Z36" s="47"/>
      <c r="AA36" s="47"/>
      <c r="AB36" s="55">
        <f t="shared" si="0"/>
        <v>22</v>
      </c>
      <c r="AC36" s="110" t="s">
        <v>71</v>
      </c>
      <c r="AD36" s="31">
        <v>67.400000000000006</v>
      </c>
      <c r="AE36" s="55" t="s">
        <v>467</v>
      </c>
      <c r="AF36" s="55" t="s">
        <v>468</v>
      </c>
      <c r="AG36" s="110">
        <v>155</v>
      </c>
      <c r="AH36" s="110" t="s">
        <v>112</v>
      </c>
      <c r="AI36" s="110">
        <v>3</v>
      </c>
      <c r="AJ36" s="110">
        <v>1</v>
      </c>
      <c r="AK36" s="123" t="s">
        <v>113</v>
      </c>
      <c r="AL36" s="110" t="s">
        <v>114</v>
      </c>
      <c r="AM36" s="31"/>
      <c r="AQ36" s="127" t="s">
        <v>219</v>
      </c>
      <c r="AR36" s="127" t="s">
        <v>286</v>
      </c>
      <c r="AS36" s="33" t="s">
        <v>447</v>
      </c>
      <c r="AT36" s="85">
        <v>0.39</v>
      </c>
      <c r="AU36" s="33">
        <v>63</v>
      </c>
      <c r="AV36" s="33">
        <v>16.100000000000001</v>
      </c>
    </row>
    <row r="37" spans="1:48" ht="15.75">
      <c r="A37" s="120">
        <f t="shared" si="1"/>
        <v>23</v>
      </c>
      <c r="B37" s="110" t="s">
        <v>71</v>
      </c>
      <c r="C37" s="55">
        <v>56.7</v>
      </c>
      <c r="D37" s="55" t="s">
        <v>448</v>
      </c>
      <c r="E37" s="55" t="s">
        <v>469</v>
      </c>
      <c r="F37" s="55">
        <v>149.19999999999999</v>
      </c>
      <c r="G37" s="110" t="s">
        <v>112</v>
      </c>
      <c r="H37" s="110">
        <v>3</v>
      </c>
      <c r="I37" s="110">
        <v>1</v>
      </c>
      <c r="J37" s="123" t="s">
        <v>113</v>
      </c>
      <c r="K37" s="110" t="s">
        <v>114</v>
      </c>
      <c r="L37" s="125"/>
      <c r="M37" s="47"/>
      <c r="N37" s="120">
        <f t="shared" si="2"/>
        <v>23</v>
      </c>
      <c r="O37" s="110" t="s">
        <v>71</v>
      </c>
      <c r="P37" s="55">
        <v>56.7</v>
      </c>
      <c r="Q37" s="55" t="s">
        <v>466</v>
      </c>
      <c r="R37" s="55" t="s">
        <v>470</v>
      </c>
      <c r="S37" s="55">
        <v>16.100000000000001</v>
      </c>
      <c r="T37" s="110" t="s">
        <v>112</v>
      </c>
      <c r="U37" s="110">
        <v>3</v>
      </c>
      <c r="V37" s="110">
        <v>1</v>
      </c>
      <c r="W37" s="123" t="s">
        <v>113</v>
      </c>
      <c r="X37" s="110" t="s">
        <v>114</v>
      </c>
      <c r="Y37" s="125"/>
      <c r="Z37" s="47"/>
      <c r="AA37" s="47"/>
      <c r="AB37" s="55">
        <f t="shared" si="0"/>
        <v>23</v>
      </c>
      <c r="AC37" s="110" t="s">
        <v>71</v>
      </c>
      <c r="AD37" s="31">
        <v>56.7</v>
      </c>
      <c r="AE37" s="55" t="s">
        <v>471</v>
      </c>
      <c r="AF37" s="55" t="s">
        <v>472</v>
      </c>
      <c r="AG37" s="110">
        <v>47.4</v>
      </c>
      <c r="AH37" s="110" t="s">
        <v>112</v>
      </c>
      <c r="AI37" s="110">
        <v>3</v>
      </c>
      <c r="AJ37" s="110">
        <v>1</v>
      </c>
      <c r="AK37" s="123" t="s">
        <v>113</v>
      </c>
      <c r="AL37" s="110" t="s">
        <v>114</v>
      </c>
      <c r="AM37" s="31"/>
      <c r="AQ37" s="127" t="s">
        <v>219</v>
      </c>
      <c r="AR37" s="127" t="s">
        <v>473</v>
      </c>
      <c r="AS37" s="33" t="s">
        <v>447</v>
      </c>
      <c r="AT37" s="85">
        <v>0.39</v>
      </c>
      <c r="AU37" s="33">
        <v>63</v>
      </c>
      <c r="AV37" s="33">
        <v>25.1</v>
      </c>
    </row>
    <row r="38" spans="1:48" ht="15.75">
      <c r="A38" s="120">
        <f t="shared" si="1"/>
        <v>24</v>
      </c>
      <c r="B38" s="110" t="s">
        <v>71</v>
      </c>
      <c r="C38" s="55">
        <v>56.7</v>
      </c>
      <c r="D38" s="55" t="s">
        <v>383</v>
      </c>
      <c r="E38" s="55" t="s">
        <v>474</v>
      </c>
      <c r="F38" s="55">
        <v>137.9</v>
      </c>
      <c r="G38" s="110" t="s">
        <v>112</v>
      </c>
      <c r="H38" s="110">
        <v>3</v>
      </c>
      <c r="I38" s="110">
        <v>1</v>
      </c>
      <c r="J38" s="123" t="s">
        <v>113</v>
      </c>
      <c r="K38" s="110" t="s">
        <v>114</v>
      </c>
      <c r="L38" s="125"/>
      <c r="M38" s="47"/>
      <c r="N38" s="120">
        <f t="shared" si="2"/>
        <v>24</v>
      </c>
      <c r="O38" s="110" t="s">
        <v>71</v>
      </c>
      <c r="P38" s="55">
        <v>56.7</v>
      </c>
      <c r="Q38" s="55" t="s">
        <v>466</v>
      </c>
      <c r="R38" s="55" t="s">
        <v>475</v>
      </c>
      <c r="S38" s="55">
        <v>44.8</v>
      </c>
      <c r="T38" s="110" t="s">
        <v>112</v>
      </c>
      <c r="U38" s="110">
        <v>3</v>
      </c>
      <c r="V38" s="110">
        <v>1</v>
      </c>
      <c r="W38" s="123" t="s">
        <v>113</v>
      </c>
      <c r="X38" s="110" t="s">
        <v>114</v>
      </c>
      <c r="Y38" s="125"/>
      <c r="Z38" s="47"/>
      <c r="AA38" s="47"/>
      <c r="AB38" s="55">
        <f t="shared" si="0"/>
        <v>24</v>
      </c>
      <c r="AC38" s="110" t="s">
        <v>71</v>
      </c>
      <c r="AD38" s="31">
        <v>56.7</v>
      </c>
      <c r="AE38" s="55" t="s">
        <v>459</v>
      </c>
      <c r="AF38" s="55" t="s">
        <v>460</v>
      </c>
      <c r="AG38" s="110">
        <v>55.9</v>
      </c>
      <c r="AH38" s="110" t="s">
        <v>112</v>
      </c>
      <c r="AI38" s="110">
        <v>3</v>
      </c>
      <c r="AJ38" s="110">
        <v>1</v>
      </c>
      <c r="AK38" s="123" t="s">
        <v>113</v>
      </c>
      <c r="AL38" s="110" t="s">
        <v>114</v>
      </c>
      <c r="AM38" s="31"/>
      <c r="AQ38" s="127" t="s">
        <v>476</v>
      </c>
      <c r="AR38" s="127" t="s">
        <v>473</v>
      </c>
      <c r="AS38" s="87" t="s">
        <v>410</v>
      </c>
      <c r="AT38" s="33"/>
      <c r="AU38" s="33">
        <v>63</v>
      </c>
      <c r="AV38" s="33">
        <v>45</v>
      </c>
    </row>
    <row r="39" spans="1:48" ht="15.75">
      <c r="A39" s="120">
        <f t="shared" si="1"/>
        <v>25</v>
      </c>
      <c r="B39" s="110" t="s">
        <v>71</v>
      </c>
      <c r="C39" s="55">
        <v>56.7</v>
      </c>
      <c r="D39" s="55" t="s">
        <v>474</v>
      </c>
      <c r="E39" s="55" t="s">
        <v>306</v>
      </c>
      <c r="F39" s="55">
        <v>189.2</v>
      </c>
      <c r="G39" s="110" t="s">
        <v>112</v>
      </c>
      <c r="H39" s="110">
        <v>3</v>
      </c>
      <c r="I39" s="110">
        <v>1</v>
      </c>
      <c r="J39" s="123" t="s">
        <v>113</v>
      </c>
      <c r="K39" s="110" t="s">
        <v>114</v>
      </c>
      <c r="L39" s="125"/>
      <c r="M39" s="47"/>
      <c r="N39" s="120">
        <f t="shared" si="2"/>
        <v>25</v>
      </c>
      <c r="O39" s="110" t="s">
        <v>71</v>
      </c>
      <c r="P39" s="55">
        <v>126.3</v>
      </c>
      <c r="Q39" s="55" t="s">
        <v>414</v>
      </c>
      <c r="R39" s="55" t="s">
        <v>475</v>
      </c>
      <c r="S39" s="55">
        <v>43.3</v>
      </c>
      <c r="T39" s="110" t="s">
        <v>112</v>
      </c>
      <c r="U39" s="110">
        <v>3</v>
      </c>
      <c r="V39" s="110">
        <v>1</v>
      </c>
      <c r="W39" s="123" t="s">
        <v>113</v>
      </c>
      <c r="X39" s="110" t="s">
        <v>114</v>
      </c>
      <c r="Y39" s="125"/>
      <c r="Z39" s="47"/>
      <c r="AA39" s="47"/>
      <c r="AB39" s="55">
        <f t="shared" si="0"/>
        <v>25</v>
      </c>
      <c r="AC39" s="110" t="s">
        <v>71</v>
      </c>
      <c r="AD39" s="31">
        <v>56.7</v>
      </c>
      <c r="AE39" s="110" t="s">
        <v>296</v>
      </c>
      <c r="AF39" s="110" t="s">
        <v>363</v>
      </c>
      <c r="AG39" s="55">
        <v>67</v>
      </c>
      <c r="AH39" s="110" t="s">
        <v>112</v>
      </c>
      <c r="AI39" s="110">
        <v>3</v>
      </c>
      <c r="AJ39" s="110">
        <v>1</v>
      </c>
      <c r="AK39" s="123" t="s">
        <v>113</v>
      </c>
      <c r="AL39" s="110" t="s">
        <v>114</v>
      </c>
      <c r="AM39" s="31"/>
      <c r="AQ39" s="127" t="s">
        <v>473</v>
      </c>
      <c r="AR39" s="127" t="s">
        <v>229</v>
      </c>
      <c r="AS39" s="33" t="s">
        <v>447</v>
      </c>
      <c r="AT39" s="85">
        <v>0.39</v>
      </c>
      <c r="AU39" s="33">
        <v>63</v>
      </c>
      <c r="AV39" s="33">
        <v>68.7</v>
      </c>
    </row>
    <row r="40" spans="1:48" ht="15.75">
      <c r="A40" s="120">
        <f t="shared" si="1"/>
        <v>26</v>
      </c>
      <c r="B40" s="110" t="s">
        <v>71</v>
      </c>
      <c r="C40" s="55">
        <v>56.7</v>
      </c>
      <c r="D40" s="55" t="s">
        <v>474</v>
      </c>
      <c r="E40" s="55" t="s">
        <v>391</v>
      </c>
      <c r="F40" s="55">
        <f>91.9+70.7</f>
        <v>162.60000000000002</v>
      </c>
      <c r="G40" s="110" t="s">
        <v>112</v>
      </c>
      <c r="H40" s="110">
        <v>3</v>
      </c>
      <c r="I40" s="110">
        <v>1</v>
      </c>
      <c r="J40" s="123" t="s">
        <v>113</v>
      </c>
      <c r="K40" s="110" t="s">
        <v>114</v>
      </c>
      <c r="L40" s="125"/>
      <c r="M40" s="47"/>
      <c r="N40" s="120">
        <f t="shared" si="2"/>
        <v>26</v>
      </c>
      <c r="O40" s="110" t="s">
        <v>71</v>
      </c>
      <c r="P40" s="55">
        <v>126.3</v>
      </c>
      <c r="Q40" s="55" t="s">
        <v>475</v>
      </c>
      <c r="R40" s="55" t="s">
        <v>477</v>
      </c>
      <c r="S40" s="55">
        <v>50.5</v>
      </c>
      <c r="T40" s="110" t="s">
        <v>112</v>
      </c>
      <c r="U40" s="110">
        <v>3</v>
      </c>
      <c r="V40" s="110">
        <v>1</v>
      </c>
      <c r="W40" s="123" t="s">
        <v>113</v>
      </c>
      <c r="X40" s="110" t="s">
        <v>114</v>
      </c>
      <c r="Y40" s="125"/>
      <c r="Z40" s="47"/>
      <c r="AA40" s="47"/>
      <c r="AB40" s="55">
        <f t="shared" si="0"/>
        <v>26</v>
      </c>
      <c r="AC40" s="110" t="s">
        <v>71</v>
      </c>
      <c r="AD40" s="31">
        <v>56.7</v>
      </c>
      <c r="AE40" s="110" t="s">
        <v>238</v>
      </c>
      <c r="AF40" s="110" t="s">
        <v>214</v>
      </c>
      <c r="AG40" s="55">
        <v>39.700000000000003</v>
      </c>
      <c r="AH40" s="110" t="s">
        <v>112</v>
      </c>
      <c r="AI40" s="110">
        <v>3</v>
      </c>
      <c r="AJ40" s="110">
        <v>1</v>
      </c>
      <c r="AK40" s="123" t="s">
        <v>113</v>
      </c>
      <c r="AL40" s="110" t="s">
        <v>114</v>
      </c>
      <c r="AM40" s="31"/>
      <c r="AQ40" s="127" t="s">
        <v>229</v>
      </c>
      <c r="AR40" s="127" t="s">
        <v>119</v>
      </c>
      <c r="AS40" s="87" t="s">
        <v>410</v>
      </c>
      <c r="AT40" s="33"/>
      <c r="AU40" s="33">
        <v>63</v>
      </c>
      <c r="AV40" s="33">
        <v>46.8</v>
      </c>
    </row>
    <row r="41" spans="1:48" ht="15.75">
      <c r="A41" s="120">
        <f t="shared" si="1"/>
        <v>27</v>
      </c>
      <c r="B41" s="110" t="s">
        <v>71</v>
      </c>
      <c r="C41" s="55">
        <v>126.3</v>
      </c>
      <c r="D41" s="55" t="s">
        <v>383</v>
      </c>
      <c r="E41" s="55" t="s">
        <v>374</v>
      </c>
      <c r="F41" s="55">
        <v>208</v>
      </c>
      <c r="G41" s="110" t="s">
        <v>112</v>
      </c>
      <c r="H41" s="110">
        <v>3</v>
      </c>
      <c r="I41" s="110">
        <v>1</v>
      </c>
      <c r="J41" s="123" t="s">
        <v>113</v>
      </c>
      <c r="K41" s="110" t="s">
        <v>114</v>
      </c>
      <c r="L41" s="125"/>
      <c r="M41" s="47"/>
      <c r="N41" s="120">
        <f t="shared" si="2"/>
        <v>27</v>
      </c>
      <c r="O41" s="110" t="s">
        <v>71</v>
      </c>
      <c r="P41" s="55">
        <v>67.400000000000006</v>
      </c>
      <c r="Q41" s="55" t="s">
        <v>477</v>
      </c>
      <c r="R41" s="55" t="s">
        <v>291</v>
      </c>
      <c r="S41" s="55">
        <v>41</v>
      </c>
      <c r="T41" s="110" t="s">
        <v>112</v>
      </c>
      <c r="U41" s="110">
        <v>3</v>
      </c>
      <c r="V41" s="110">
        <v>1</v>
      </c>
      <c r="W41" s="123" t="s">
        <v>113</v>
      </c>
      <c r="X41" s="110" t="s">
        <v>114</v>
      </c>
      <c r="Y41" s="125"/>
      <c r="Z41" s="47"/>
      <c r="AA41" s="47"/>
      <c r="AB41" s="55">
        <f t="shared" si="0"/>
        <v>27</v>
      </c>
      <c r="AC41" s="110" t="s">
        <v>71</v>
      </c>
      <c r="AD41" s="31">
        <v>56.7</v>
      </c>
      <c r="AE41" s="110" t="s">
        <v>221</v>
      </c>
      <c r="AF41" s="110" t="s">
        <v>478</v>
      </c>
      <c r="AG41" s="55">
        <v>18.7</v>
      </c>
      <c r="AH41" s="110" t="s">
        <v>112</v>
      </c>
      <c r="AI41" s="110">
        <v>3</v>
      </c>
      <c r="AJ41" s="110">
        <v>1</v>
      </c>
      <c r="AK41" s="123" t="s">
        <v>113</v>
      </c>
      <c r="AL41" s="110" t="s">
        <v>114</v>
      </c>
      <c r="AM41" s="31"/>
      <c r="AQ41" s="127" t="s">
        <v>479</v>
      </c>
      <c r="AR41" s="127" t="s">
        <v>320</v>
      </c>
      <c r="AS41" s="87" t="s">
        <v>410</v>
      </c>
      <c r="AT41" s="33"/>
      <c r="AU41" s="33">
        <v>63</v>
      </c>
      <c r="AV41" s="33">
        <v>55</v>
      </c>
    </row>
    <row r="42" spans="1:48" ht="15.75">
      <c r="A42" s="120">
        <f t="shared" si="1"/>
        <v>28</v>
      </c>
      <c r="B42" s="110" t="s">
        <v>71</v>
      </c>
      <c r="C42" s="55">
        <v>126.3</v>
      </c>
      <c r="D42" s="55" t="s">
        <v>374</v>
      </c>
      <c r="E42" s="55" t="s">
        <v>459</v>
      </c>
      <c r="F42" s="55">
        <v>32</v>
      </c>
      <c r="G42" s="110" t="s">
        <v>112</v>
      </c>
      <c r="H42" s="110">
        <v>3</v>
      </c>
      <c r="I42" s="110">
        <v>1</v>
      </c>
      <c r="J42" s="123" t="s">
        <v>113</v>
      </c>
      <c r="K42" s="110" t="s">
        <v>114</v>
      </c>
      <c r="L42" s="125"/>
      <c r="M42" s="47"/>
      <c r="N42" s="120">
        <f t="shared" si="2"/>
        <v>28</v>
      </c>
      <c r="O42" s="110" t="s">
        <v>71</v>
      </c>
      <c r="P42" s="55">
        <v>126.3</v>
      </c>
      <c r="Q42" s="55" t="s">
        <v>477</v>
      </c>
      <c r="R42" s="55" t="s">
        <v>280</v>
      </c>
      <c r="S42" s="55">
        <v>46.2</v>
      </c>
      <c r="T42" s="110" t="s">
        <v>112</v>
      </c>
      <c r="U42" s="110">
        <v>3</v>
      </c>
      <c r="V42" s="110">
        <v>1</v>
      </c>
      <c r="W42" s="123" t="s">
        <v>113</v>
      </c>
      <c r="X42" s="110" t="s">
        <v>114</v>
      </c>
      <c r="Y42" s="125"/>
      <c r="Z42" s="47"/>
      <c r="AA42" s="47"/>
      <c r="AB42" s="55">
        <f t="shared" si="0"/>
        <v>28</v>
      </c>
      <c r="AC42" s="110" t="s">
        <v>71</v>
      </c>
      <c r="AD42" s="31">
        <v>56.7</v>
      </c>
      <c r="AE42" s="110" t="s">
        <v>480</v>
      </c>
      <c r="AF42" s="110" t="s">
        <v>481</v>
      </c>
      <c r="AG42" s="55">
        <v>12.6</v>
      </c>
      <c r="AH42" s="110" t="s">
        <v>112</v>
      </c>
      <c r="AI42" s="110">
        <v>3</v>
      </c>
      <c r="AJ42" s="110">
        <v>1</v>
      </c>
      <c r="AK42" s="123" t="s">
        <v>113</v>
      </c>
      <c r="AL42" s="110" t="s">
        <v>114</v>
      </c>
      <c r="AM42" s="31"/>
      <c r="AQ42" s="75" t="s">
        <v>438</v>
      </c>
      <c r="AR42" s="75" t="s">
        <v>439</v>
      </c>
      <c r="AS42" s="87" t="s">
        <v>410</v>
      </c>
      <c r="AT42" s="61"/>
      <c r="AU42" s="33">
        <v>63</v>
      </c>
      <c r="AV42" s="29">
        <v>28.7</v>
      </c>
    </row>
    <row r="43" spans="1:48" ht="15.75">
      <c r="A43" s="120">
        <f t="shared" si="1"/>
        <v>29</v>
      </c>
      <c r="B43" s="110" t="s">
        <v>71</v>
      </c>
      <c r="C43" s="55">
        <v>126.3</v>
      </c>
      <c r="D43" s="55" t="s">
        <v>459</v>
      </c>
      <c r="E43" s="55" t="s">
        <v>413</v>
      </c>
      <c r="F43" s="55">
        <v>286</v>
      </c>
      <c r="G43" s="110" t="s">
        <v>112</v>
      </c>
      <c r="H43" s="110">
        <v>3</v>
      </c>
      <c r="I43" s="110">
        <v>1</v>
      </c>
      <c r="J43" s="123" t="s">
        <v>113</v>
      </c>
      <c r="K43" s="110" t="s">
        <v>114</v>
      </c>
      <c r="L43" s="125"/>
      <c r="M43" s="47"/>
      <c r="N43" s="120">
        <f t="shared" si="2"/>
        <v>29</v>
      </c>
      <c r="O43" s="110" t="s">
        <v>71</v>
      </c>
      <c r="P43" s="55">
        <v>56.7</v>
      </c>
      <c r="Q43" s="55" t="s">
        <v>280</v>
      </c>
      <c r="R43" s="55" t="s">
        <v>317</v>
      </c>
      <c r="S43" s="55">
        <v>137.5</v>
      </c>
      <c r="T43" s="110" t="s">
        <v>112</v>
      </c>
      <c r="U43" s="110">
        <v>3</v>
      </c>
      <c r="V43" s="110">
        <v>1</v>
      </c>
      <c r="W43" s="123" t="s">
        <v>113</v>
      </c>
      <c r="X43" s="110" t="s">
        <v>114</v>
      </c>
      <c r="Y43" s="125"/>
      <c r="Z43" s="47"/>
      <c r="AA43" s="47"/>
      <c r="AB43" s="31"/>
      <c r="AC43" s="31"/>
      <c r="AD43" s="31"/>
      <c r="AE43" s="31"/>
      <c r="AF43" s="31"/>
      <c r="AG43" s="31"/>
      <c r="AH43" s="31"/>
      <c r="AI43" s="31"/>
      <c r="AJ43" s="31"/>
      <c r="AK43" s="31"/>
      <c r="AL43" s="31"/>
      <c r="AM43" s="31"/>
      <c r="AQ43" s="75" t="s">
        <v>280</v>
      </c>
      <c r="AR43" s="75" t="s">
        <v>317</v>
      </c>
      <c r="AS43" s="33" t="s">
        <v>416</v>
      </c>
      <c r="AT43" s="85">
        <v>0.36</v>
      </c>
      <c r="AU43" s="33">
        <v>63</v>
      </c>
      <c r="AV43" s="29">
        <v>3.5</v>
      </c>
    </row>
    <row r="44" spans="1:48" ht="15.75">
      <c r="A44" s="120">
        <f t="shared" si="1"/>
        <v>30</v>
      </c>
      <c r="B44" s="110" t="s">
        <v>71</v>
      </c>
      <c r="C44" s="55">
        <v>56.7</v>
      </c>
      <c r="D44" s="55" t="s">
        <v>413</v>
      </c>
      <c r="E44" s="55" t="s">
        <v>482</v>
      </c>
      <c r="F44" s="55">
        <v>12.5</v>
      </c>
      <c r="G44" s="110" t="s">
        <v>112</v>
      </c>
      <c r="H44" s="110">
        <v>3</v>
      </c>
      <c r="I44" s="110">
        <v>1</v>
      </c>
      <c r="J44" s="123" t="s">
        <v>113</v>
      </c>
      <c r="K44" s="110" t="s">
        <v>114</v>
      </c>
      <c r="L44" s="125"/>
      <c r="M44" s="47"/>
      <c r="N44" s="120">
        <f t="shared" si="2"/>
        <v>30</v>
      </c>
      <c r="O44" s="110" t="s">
        <v>71</v>
      </c>
      <c r="P44" s="55">
        <v>56.7</v>
      </c>
      <c r="Q44" s="55" t="s">
        <v>280</v>
      </c>
      <c r="R44" s="55" t="s">
        <v>340</v>
      </c>
      <c r="S44" s="55">
        <v>27.3</v>
      </c>
      <c r="T44" s="110" t="s">
        <v>112</v>
      </c>
      <c r="U44" s="110">
        <v>3</v>
      </c>
      <c r="V44" s="110">
        <v>1</v>
      </c>
      <c r="W44" s="123" t="s">
        <v>113</v>
      </c>
      <c r="X44" s="110" t="s">
        <v>114</v>
      </c>
      <c r="Y44" s="125"/>
      <c r="Z44" s="47"/>
      <c r="AA44" s="47"/>
      <c r="AB44" s="31"/>
      <c r="AC44" s="31"/>
      <c r="AD44" s="31"/>
      <c r="AE44" s="31"/>
      <c r="AF44" s="31"/>
      <c r="AG44" s="31"/>
      <c r="AH44" s="31"/>
      <c r="AI44" s="31"/>
      <c r="AJ44" s="31"/>
      <c r="AK44" s="31"/>
      <c r="AL44" s="31"/>
      <c r="AM44" s="31"/>
      <c r="AQ44" s="75" t="s">
        <v>280</v>
      </c>
      <c r="AR44" s="75" t="s">
        <v>317</v>
      </c>
      <c r="AS44" s="87" t="s">
        <v>410</v>
      </c>
      <c r="AT44" s="29"/>
      <c r="AU44" s="33">
        <v>63</v>
      </c>
      <c r="AV44" s="29">
        <f>134-21</f>
        <v>113</v>
      </c>
    </row>
    <row r="45" spans="1:48" ht="15.75">
      <c r="A45" s="120">
        <f t="shared" si="1"/>
        <v>31</v>
      </c>
      <c r="B45" s="110" t="s">
        <v>71</v>
      </c>
      <c r="C45" s="55">
        <v>56.7</v>
      </c>
      <c r="D45" s="55" t="s">
        <v>482</v>
      </c>
      <c r="E45" s="55" t="s">
        <v>450</v>
      </c>
      <c r="F45" s="55">
        <v>21</v>
      </c>
      <c r="G45" s="110" t="s">
        <v>112</v>
      </c>
      <c r="H45" s="110">
        <v>3</v>
      </c>
      <c r="I45" s="110">
        <v>1</v>
      </c>
      <c r="J45" s="123" t="s">
        <v>113</v>
      </c>
      <c r="K45" s="110" t="s">
        <v>114</v>
      </c>
      <c r="L45" s="125"/>
      <c r="M45" s="47"/>
      <c r="N45" s="120">
        <f t="shared" si="2"/>
        <v>31</v>
      </c>
      <c r="O45" s="110" t="s">
        <v>71</v>
      </c>
      <c r="P45" s="55">
        <v>126.3</v>
      </c>
      <c r="Q45" s="55" t="s">
        <v>280</v>
      </c>
      <c r="R45" s="55" t="s">
        <v>483</v>
      </c>
      <c r="S45" s="55">
        <v>170.4</v>
      </c>
      <c r="T45" s="110" t="s">
        <v>112</v>
      </c>
      <c r="U45" s="110">
        <v>3</v>
      </c>
      <c r="V45" s="110">
        <v>1</v>
      </c>
      <c r="W45" s="123" t="s">
        <v>113</v>
      </c>
      <c r="X45" s="110" t="s">
        <v>114</v>
      </c>
      <c r="Y45" s="125"/>
      <c r="Z45" s="47"/>
      <c r="AA45" s="47"/>
      <c r="AB45" s="313"/>
      <c r="AC45" s="314"/>
      <c r="AD45" s="309" t="s">
        <v>86</v>
      </c>
      <c r="AE45" s="310"/>
      <c r="AF45" s="310"/>
      <c r="AG45" s="311"/>
      <c r="AH45" s="309" t="s">
        <v>87</v>
      </c>
      <c r="AI45" s="310"/>
      <c r="AJ45" s="311"/>
      <c r="AK45" s="309" t="s">
        <v>39</v>
      </c>
      <c r="AL45" s="310"/>
      <c r="AM45" s="312"/>
      <c r="AQ45" s="75" t="s">
        <v>280</v>
      </c>
      <c r="AR45" s="75" t="s">
        <v>317</v>
      </c>
      <c r="AS45" s="33" t="s">
        <v>447</v>
      </c>
      <c r="AT45" s="85">
        <v>0.39</v>
      </c>
      <c r="AU45" s="33">
        <v>63</v>
      </c>
      <c r="AV45" s="29">
        <v>21</v>
      </c>
    </row>
    <row r="46" spans="1:48" ht="15.75">
      <c r="A46" s="120">
        <f t="shared" si="1"/>
        <v>32</v>
      </c>
      <c r="B46" s="110" t="s">
        <v>71</v>
      </c>
      <c r="C46" s="55">
        <v>56.7</v>
      </c>
      <c r="D46" s="55" t="s">
        <v>482</v>
      </c>
      <c r="E46" s="55" t="s">
        <v>454</v>
      </c>
      <c r="F46" s="55">
        <v>42</v>
      </c>
      <c r="G46" s="110" t="s">
        <v>112</v>
      </c>
      <c r="H46" s="110">
        <v>3</v>
      </c>
      <c r="I46" s="110">
        <v>1</v>
      </c>
      <c r="J46" s="123" t="s">
        <v>113</v>
      </c>
      <c r="K46" s="110" t="s">
        <v>114</v>
      </c>
      <c r="L46" s="125"/>
      <c r="M46" s="47"/>
      <c r="N46" s="120">
        <f t="shared" si="2"/>
        <v>32</v>
      </c>
      <c r="O46" s="110" t="s">
        <v>71</v>
      </c>
      <c r="P46" s="55">
        <v>56.7</v>
      </c>
      <c r="Q46" s="55" t="s">
        <v>484</v>
      </c>
      <c r="R46" s="55" t="s">
        <v>485</v>
      </c>
      <c r="S46" s="55">
        <v>467.6</v>
      </c>
      <c r="T46" s="110" t="s">
        <v>112</v>
      </c>
      <c r="U46" s="110">
        <v>3</v>
      </c>
      <c r="V46" s="110">
        <v>1</v>
      </c>
      <c r="W46" s="123" t="s">
        <v>113</v>
      </c>
      <c r="X46" s="110" t="s">
        <v>114</v>
      </c>
      <c r="Y46" s="125"/>
      <c r="Z46" s="47"/>
      <c r="AA46" s="47"/>
      <c r="AB46" s="294" t="s">
        <v>40</v>
      </c>
      <c r="AC46" s="295"/>
      <c r="AD46" s="296" t="s">
        <v>133</v>
      </c>
      <c r="AE46" s="297"/>
      <c r="AF46" s="297"/>
      <c r="AG46" s="298"/>
      <c r="AH46" s="296"/>
      <c r="AI46" s="297"/>
      <c r="AJ46" s="298"/>
      <c r="AK46" s="296"/>
      <c r="AL46" s="297"/>
      <c r="AM46" s="299"/>
      <c r="AQ46" s="75" t="s">
        <v>280</v>
      </c>
      <c r="AR46" s="75" t="s">
        <v>340</v>
      </c>
      <c r="AS46" s="87" t="s">
        <v>410</v>
      </c>
      <c r="AT46" s="85"/>
      <c r="AU46" s="33">
        <v>63</v>
      </c>
      <c r="AV46" s="29">
        <f>27.3-6</f>
        <v>21.3</v>
      </c>
    </row>
    <row r="47" spans="1:48" ht="15.75">
      <c r="A47" s="120">
        <f t="shared" si="1"/>
        <v>33</v>
      </c>
      <c r="B47" s="110" t="s">
        <v>71</v>
      </c>
      <c r="C47" s="55">
        <v>56.7</v>
      </c>
      <c r="D47" s="55" t="s">
        <v>374</v>
      </c>
      <c r="E47" s="55" t="s">
        <v>486</v>
      </c>
      <c r="F47" s="55">
        <v>296.39999999999998</v>
      </c>
      <c r="G47" s="110" t="s">
        <v>112</v>
      </c>
      <c r="H47" s="110">
        <v>3</v>
      </c>
      <c r="I47" s="110">
        <v>1</v>
      </c>
      <c r="J47" s="123" t="s">
        <v>113</v>
      </c>
      <c r="K47" s="110" t="s">
        <v>114</v>
      </c>
      <c r="L47" s="125"/>
      <c r="M47" s="47"/>
      <c r="N47" s="120">
        <f t="shared" si="2"/>
        <v>33</v>
      </c>
      <c r="O47" s="110" t="s">
        <v>71</v>
      </c>
      <c r="P47" s="55">
        <v>67.400000000000006</v>
      </c>
      <c r="Q47" s="55" t="s">
        <v>483</v>
      </c>
      <c r="R47" s="55" t="s">
        <v>368</v>
      </c>
      <c r="S47" s="55">
        <v>65</v>
      </c>
      <c r="T47" s="110" t="s">
        <v>112</v>
      </c>
      <c r="U47" s="110">
        <v>3</v>
      </c>
      <c r="V47" s="110">
        <v>1</v>
      </c>
      <c r="W47" s="123" t="s">
        <v>113</v>
      </c>
      <c r="X47" s="110" t="s">
        <v>114</v>
      </c>
      <c r="Y47" s="125"/>
      <c r="Z47" s="47"/>
      <c r="AA47" s="47"/>
      <c r="AB47" s="294" t="s">
        <v>41</v>
      </c>
      <c r="AC47" s="295"/>
      <c r="AD47" s="296" t="s">
        <v>140</v>
      </c>
      <c r="AE47" s="297"/>
      <c r="AF47" s="297"/>
      <c r="AG47" s="298"/>
      <c r="AH47" s="296"/>
      <c r="AI47" s="297"/>
      <c r="AJ47" s="298"/>
      <c r="AK47" s="296"/>
      <c r="AL47" s="297"/>
      <c r="AM47" s="299"/>
      <c r="AQ47" s="75" t="s">
        <v>280</v>
      </c>
      <c r="AR47" s="75" t="s">
        <v>340</v>
      </c>
      <c r="AS47" s="29" t="s">
        <v>487</v>
      </c>
      <c r="AT47" s="85">
        <v>0.39</v>
      </c>
      <c r="AU47" s="33">
        <v>63</v>
      </c>
      <c r="AV47" s="29">
        <v>6</v>
      </c>
    </row>
    <row r="48" spans="1:48" ht="15.75">
      <c r="A48" s="120">
        <f t="shared" si="1"/>
        <v>34</v>
      </c>
      <c r="B48" s="110" t="s">
        <v>71</v>
      </c>
      <c r="C48" s="55">
        <v>56.7</v>
      </c>
      <c r="D48" s="31" t="s">
        <v>462</v>
      </c>
      <c r="E48" s="31" t="s">
        <v>488</v>
      </c>
      <c r="F48" s="31">
        <v>47.4</v>
      </c>
      <c r="G48" s="110" t="s">
        <v>125</v>
      </c>
      <c r="H48" s="110">
        <v>3</v>
      </c>
      <c r="I48" s="110">
        <v>1</v>
      </c>
      <c r="J48" s="123" t="s">
        <v>113</v>
      </c>
      <c r="K48" s="110" t="s">
        <v>114</v>
      </c>
      <c r="L48" s="125"/>
      <c r="M48" s="47"/>
      <c r="N48" s="120">
        <f t="shared" si="2"/>
        <v>34</v>
      </c>
      <c r="O48" s="110" t="s">
        <v>71</v>
      </c>
      <c r="P48" s="110">
        <v>56.7</v>
      </c>
      <c r="Q48" s="110" t="s">
        <v>368</v>
      </c>
      <c r="R48" s="110" t="s">
        <v>326</v>
      </c>
      <c r="S48" s="110">
        <v>30</v>
      </c>
      <c r="T48" s="110" t="s">
        <v>112</v>
      </c>
      <c r="U48" s="110">
        <v>3</v>
      </c>
      <c r="V48" s="110">
        <v>1</v>
      </c>
      <c r="W48" s="123" t="s">
        <v>113</v>
      </c>
      <c r="X48" s="110" t="s">
        <v>114</v>
      </c>
      <c r="Y48" s="125"/>
      <c r="Z48" s="47"/>
      <c r="AA48" s="47"/>
      <c r="AB48" s="294" t="s">
        <v>42</v>
      </c>
      <c r="AC48" s="295"/>
      <c r="AD48" s="296"/>
      <c r="AE48" s="297"/>
      <c r="AF48" s="297"/>
      <c r="AG48" s="298"/>
      <c r="AH48" s="296"/>
      <c r="AI48" s="297"/>
      <c r="AJ48" s="298"/>
      <c r="AK48" s="296"/>
      <c r="AL48" s="297"/>
      <c r="AM48" s="299"/>
      <c r="AQ48" s="75" t="s">
        <v>484</v>
      </c>
      <c r="AR48" s="75" t="s">
        <v>485</v>
      </c>
      <c r="AS48" s="87" t="s">
        <v>410</v>
      </c>
      <c r="AT48" s="33"/>
      <c r="AU48" s="33">
        <v>63</v>
      </c>
      <c r="AV48" s="29">
        <f>31.6-4.7</f>
        <v>26.900000000000002</v>
      </c>
    </row>
    <row r="49" spans="1:48" ht="15.75">
      <c r="A49" s="120">
        <f t="shared" si="1"/>
        <v>35</v>
      </c>
      <c r="B49" s="110" t="s">
        <v>71</v>
      </c>
      <c r="C49" s="110">
        <v>144.4</v>
      </c>
      <c r="D49" s="31" t="s">
        <v>453</v>
      </c>
      <c r="E49" s="31" t="s">
        <v>465</v>
      </c>
      <c r="F49" s="31">
        <v>100</v>
      </c>
      <c r="G49" s="110" t="s">
        <v>131</v>
      </c>
      <c r="H49" s="110">
        <v>3</v>
      </c>
      <c r="I49" s="110">
        <v>1</v>
      </c>
      <c r="J49" s="123" t="s">
        <v>113</v>
      </c>
      <c r="K49" s="110" t="s">
        <v>114</v>
      </c>
      <c r="L49" s="125"/>
      <c r="M49" s="47"/>
      <c r="N49" s="120">
        <f t="shared" si="2"/>
        <v>35</v>
      </c>
      <c r="O49" s="110" t="s">
        <v>71</v>
      </c>
      <c r="P49" s="110">
        <v>67.400000000000006</v>
      </c>
      <c r="Q49" s="110" t="s">
        <v>368</v>
      </c>
      <c r="R49" s="110" t="s">
        <v>456</v>
      </c>
      <c r="S49" s="110">
        <v>111</v>
      </c>
      <c r="T49" s="110" t="s">
        <v>112</v>
      </c>
      <c r="U49" s="110">
        <v>3</v>
      </c>
      <c r="V49" s="110">
        <v>1</v>
      </c>
      <c r="W49" s="123" t="s">
        <v>113</v>
      </c>
      <c r="X49" s="110" t="s">
        <v>114</v>
      </c>
      <c r="Y49" s="125"/>
      <c r="Z49" s="47"/>
      <c r="AA49" s="47"/>
      <c r="AB49" s="295" t="s">
        <v>43</v>
      </c>
      <c r="AC49" s="295"/>
      <c r="AD49" s="315"/>
      <c r="AE49" s="316"/>
      <c r="AF49" s="316"/>
      <c r="AG49" s="316"/>
      <c r="AH49" s="317"/>
      <c r="AI49" s="317"/>
      <c r="AJ49" s="317"/>
      <c r="AK49" s="317"/>
      <c r="AL49" s="317"/>
      <c r="AM49" s="317"/>
      <c r="AQ49" s="75" t="s">
        <v>484</v>
      </c>
      <c r="AR49" s="75" t="s">
        <v>485</v>
      </c>
      <c r="AS49" s="33" t="s">
        <v>416</v>
      </c>
      <c r="AT49" s="85">
        <v>0.39</v>
      </c>
      <c r="AU49" s="33">
        <v>63</v>
      </c>
      <c r="AV49" s="29">
        <v>3.5</v>
      </c>
    </row>
    <row r="50" spans="1:48" ht="15.75">
      <c r="A50" s="121"/>
      <c r="B50" s="122"/>
      <c r="C50" s="122"/>
      <c r="D50" s="122"/>
      <c r="E50" s="122"/>
      <c r="F50" s="122"/>
      <c r="G50" s="122"/>
      <c r="H50" s="122"/>
      <c r="I50" s="122"/>
      <c r="J50" s="122"/>
      <c r="K50" s="122"/>
      <c r="L50" s="125"/>
      <c r="M50" s="47"/>
      <c r="N50" s="120">
        <f t="shared" si="2"/>
        <v>36</v>
      </c>
      <c r="O50" s="110" t="s">
        <v>71</v>
      </c>
      <c r="P50" s="110">
        <v>67.400000000000006</v>
      </c>
      <c r="Q50" s="110" t="s">
        <v>456</v>
      </c>
      <c r="R50" s="110" t="s">
        <v>291</v>
      </c>
      <c r="S50" s="110">
        <v>98.4</v>
      </c>
      <c r="T50" s="110" t="s">
        <v>112</v>
      </c>
      <c r="U50" s="110">
        <v>3</v>
      </c>
      <c r="V50" s="110">
        <v>1</v>
      </c>
      <c r="W50" s="123" t="s">
        <v>113</v>
      </c>
      <c r="X50" s="110" t="s">
        <v>114</v>
      </c>
      <c r="Y50" s="125"/>
      <c r="Z50" s="47"/>
      <c r="AA50" s="47"/>
      <c r="AB50" s="47"/>
      <c r="AC50" s="47"/>
      <c r="AD50" s="47"/>
      <c r="AE50" s="47"/>
      <c r="AF50" s="47"/>
      <c r="AG50" s="47"/>
      <c r="AH50" s="47"/>
      <c r="AI50" s="47"/>
      <c r="AJ50" s="47"/>
      <c r="AK50" s="47"/>
      <c r="AL50" s="47"/>
      <c r="AM50" s="47"/>
      <c r="AQ50" s="75" t="s">
        <v>484</v>
      </c>
      <c r="AR50" s="75" t="s">
        <v>485</v>
      </c>
      <c r="AS50" s="29" t="s">
        <v>487</v>
      </c>
      <c r="AT50" s="85">
        <v>0.39</v>
      </c>
      <c r="AU50" s="33">
        <v>63</v>
      </c>
      <c r="AV50" s="29">
        <v>100.2</v>
      </c>
    </row>
    <row r="51" spans="1:48" ht="15.75">
      <c r="A51" s="121"/>
      <c r="B51" s="122"/>
      <c r="C51" s="122"/>
      <c r="D51" s="122"/>
      <c r="E51" s="122"/>
      <c r="F51" s="122"/>
      <c r="G51" s="122"/>
      <c r="H51" s="122"/>
      <c r="I51" s="122"/>
      <c r="J51" s="122"/>
      <c r="K51" s="122"/>
      <c r="L51" s="126"/>
      <c r="M51" s="47"/>
      <c r="N51" s="120">
        <f t="shared" si="2"/>
        <v>37</v>
      </c>
      <c r="O51" s="110" t="s">
        <v>71</v>
      </c>
      <c r="P51" s="110">
        <v>126.3</v>
      </c>
      <c r="Q51" s="110" t="s">
        <v>483</v>
      </c>
      <c r="R51" s="110" t="s">
        <v>415</v>
      </c>
      <c r="S51" s="110">
        <v>119</v>
      </c>
      <c r="T51" s="110" t="s">
        <v>112</v>
      </c>
      <c r="U51" s="110">
        <v>3</v>
      </c>
      <c r="V51" s="110">
        <v>1</v>
      </c>
      <c r="W51" s="123" t="s">
        <v>113</v>
      </c>
      <c r="X51" s="110" t="s">
        <v>114</v>
      </c>
      <c r="Y51" s="126"/>
      <c r="Z51" s="47"/>
      <c r="AA51" s="47"/>
      <c r="AB51" s="47"/>
      <c r="AC51" s="47"/>
      <c r="AD51" s="47"/>
      <c r="AE51" s="47"/>
      <c r="AF51" s="47"/>
      <c r="AG51" s="47"/>
      <c r="AH51" s="47"/>
      <c r="AI51" s="47"/>
      <c r="AJ51" s="47"/>
      <c r="AK51" s="47"/>
      <c r="AL51" s="47"/>
      <c r="AM51" s="47"/>
      <c r="AQ51" s="75" t="s">
        <v>484</v>
      </c>
      <c r="AR51" s="75" t="s">
        <v>485</v>
      </c>
      <c r="AS51" s="87" t="s">
        <v>410</v>
      </c>
      <c r="AT51" s="29"/>
      <c r="AU51" s="33">
        <v>63</v>
      </c>
      <c r="AV51" s="29">
        <v>337</v>
      </c>
    </row>
    <row r="52" spans="1:48" ht="15.75">
      <c r="A52" s="313"/>
      <c r="B52" s="314"/>
      <c r="C52" s="309" t="s">
        <v>86</v>
      </c>
      <c r="D52" s="310"/>
      <c r="E52" s="310"/>
      <c r="F52" s="311"/>
      <c r="G52" s="309" t="s">
        <v>87</v>
      </c>
      <c r="H52" s="310"/>
      <c r="I52" s="311"/>
      <c r="J52" s="309" t="s">
        <v>39</v>
      </c>
      <c r="K52" s="310"/>
      <c r="L52" s="312"/>
      <c r="M52" s="47"/>
      <c r="N52" s="120">
        <f t="shared" si="2"/>
        <v>38</v>
      </c>
      <c r="O52" s="110" t="s">
        <v>71</v>
      </c>
      <c r="P52" s="110"/>
      <c r="Q52" s="110" t="s">
        <v>415</v>
      </c>
      <c r="R52" s="110" t="s">
        <v>489</v>
      </c>
      <c r="S52" s="110">
        <v>273.60000000000002</v>
      </c>
      <c r="T52" s="110" t="s">
        <v>112</v>
      </c>
      <c r="U52" s="110">
        <v>3</v>
      </c>
      <c r="V52" s="110">
        <v>1</v>
      </c>
      <c r="W52" s="123" t="s">
        <v>113</v>
      </c>
      <c r="X52" s="110" t="s">
        <v>114</v>
      </c>
      <c r="Y52" s="31"/>
      <c r="Z52" s="47"/>
      <c r="AA52" s="47"/>
      <c r="AB52" s="47"/>
      <c r="AC52" s="47"/>
      <c r="AD52" s="47"/>
      <c r="AE52" s="47"/>
      <c r="AF52" s="47"/>
      <c r="AG52" s="47"/>
      <c r="AH52" s="47"/>
      <c r="AI52" s="47"/>
      <c r="AJ52" s="47"/>
      <c r="AK52" s="47"/>
      <c r="AL52" s="47"/>
      <c r="AM52" s="47"/>
      <c r="AQ52" s="75" t="s">
        <v>485</v>
      </c>
      <c r="AR52" s="75" t="s">
        <v>352</v>
      </c>
      <c r="AS52" s="87" t="s">
        <v>410</v>
      </c>
      <c r="AT52" s="29"/>
      <c r="AU52" s="33">
        <v>63</v>
      </c>
      <c r="AV52" s="29">
        <v>18.7</v>
      </c>
    </row>
    <row r="53" spans="1:48" ht="15.75">
      <c r="A53" s="294" t="s">
        <v>40</v>
      </c>
      <c r="B53" s="295"/>
      <c r="C53" s="296" t="s">
        <v>133</v>
      </c>
      <c r="D53" s="297"/>
      <c r="E53" s="297"/>
      <c r="F53" s="298"/>
      <c r="G53" s="296"/>
      <c r="H53" s="297"/>
      <c r="I53" s="298"/>
      <c r="J53" s="296"/>
      <c r="K53" s="297"/>
      <c r="L53" s="299"/>
      <c r="M53" s="47"/>
      <c r="N53" s="120">
        <f t="shared" si="2"/>
        <v>39</v>
      </c>
      <c r="O53" s="110" t="s">
        <v>71</v>
      </c>
      <c r="P53" s="110">
        <v>67.400000000000006</v>
      </c>
      <c r="Q53" s="110" t="s">
        <v>489</v>
      </c>
      <c r="R53" s="110" t="s">
        <v>304</v>
      </c>
      <c r="S53" s="110">
        <v>255.1</v>
      </c>
      <c r="T53" s="110" t="s">
        <v>112</v>
      </c>
      <c r="U53" s="110">
        <v>3</v>
      </c>
      <c r="V53" s="110">
        <v>1</v>
      </c>
      <c r="W53" s="123" t="s">
        <v>113</v>
      </c>
      <c r="X53" s="110" t="s">
        <v>114</v>
      </c>
      <c r="Y53" s="31"/>
      <c r="Z53" s="47"/>
      <c r="AA53" s="47"/>
      <c r="AB53" s="47"/>
      <c r="AC53" s="47"/>
      <c r="AD53" s="47"/>
      <c r="AE53" s="47"/>
      <c r="AF53" s="47"/>
      <c r="AG53" s="47"/>
      <c r="AH53" s="47"/>
      <c r="AI53" s="47"/>
      <c r="AJ53" s="47"/>
      <c r="AK53" s="47"/>
      <c r="AL53" s="47"/>
      <c r="AM53" s="47"/>
      <c r="AQ53" s="127" t="s">
        <v>490</v>
      </c>
      <c r="AR53" s="127" t="s">
        <v>491</v>
      </c>
      <c r="AS53" s="87" t="s">
        <v>410</v>
      </c>
      <c r="AT53" s="29"/>
      <c r="AU53" s="33">
        <v>63</v>
      </c>
      <c r="AV53" s="33">
        <v>12.6</v>
      </c>
    </row>
    <row r="54" spans="1:48" ht="15.75">
      <c r="A54" s="294" t="s">
        <v>41</v>
      </c>
      <c r="B54" s="295"/>
      <c r="C54" s="296" t="s">
        <v>140</v>
      </c>
      <c r="D54" s="297"/>
      <c r="E54" s="297"/>
      <c r="F54" s="298"/>
      <c r="G54" s="296"/>
      <c r="H54" s="297"/>
      <c r="I54" s="298"/>
      <c r="J54" s="296"/>
      <c r="K54" s="297"/>
      <c r="L54" s="299"/>
      <c r="M54" s="47"/>
      <c r="N54" s="120">
        <f t="shared" si="2"/>
        <v>40</v>
      </c>
      <c r="O54" s="110" t="s">
        <v>71</v>
      </c>
      <c r="P54" s="110">
        <v>67.400000000000006</v>
      </c>
      <c r="Q54" s="110" t="s">
        <v>489</v>
      </c>
      <c r="R54" s="110" t="s">
        <v>492</v>
      </c>
      <c r="S54" s="110">
        <v>92</v>
      </c>
      <c r="T54" s="110" t="s">
        <v>112</v>
      </c>
      <c r="U54" s="110">
        <v>3</v>
      </c>
      <c r="V54" s="110">
        <v>1</v>
      </c>
      <c r="W54" s="123" t="s">
        <v>113</v>
      </c>
      <c r="X54" s="110" t="s">
        <v>114</v>
      </c>
      <c r="Y54" s="31"/>
      <c r="Z54" s="47"/>
      <c r="AA54" s="47"/>
      <c r="AB54" s="47"/>
      <c r="AC54" s="47"/>
      <c r="AD54" s="47"/>
      <c r="AE54" s="47"/>
      <c r="AF54" s="47"/>
      <c r="AG54" s="47"/>
      <c r="AH54" s="47"/>
      <c r="AI54" s="47"/>
      <c r="AJ54" s="47"/>
      <c r="AK54" s="47"/>
      <c r="AL54" s="47"/>
      <c r="AM54" s="47"/>
      <c r="AQ54" s="127" t="s">
        <v>423</v>
      </c>
      <c r="AR54" s="127" t="s">
        <v>351</v>
      </c>
      <c r="AS54" s="87" t="s">
        <v>410</v>
      </c>
      <c r="AT54" s="33"/>
      <c r="AU54" s="33">
        <v>63</v>
      </c>
      <c r="AV54" s="33">
        <v>106.9</v>
      </c>
    </row>
    <row r="55" spans="1:48" ht="15.75">
      <c r="A55" s="294" t="s">
        <v>42</v>
      </c>
      <c r="B55" s="295"/>
      <c r="C55" s="296"/>
      <c r="D55" s="297"/>
      <c r="E55" s="297"/>
      <c r="F55" s="298"/>
      <c r="G55" s="296"/>
      <c r="H55" s="297"/>
      <c r="I55" s="298"/>
      <c r="J55" s="296"/>
      <c r="K55" s="297"/>
      <c r="L55" s="299"/>
      <c r="M55" s="47"/>
      <c r="N55" s="120">
        <f t="shared" si="2"/>
        <v>41</v>
      </c>
      <c r="O55" s="110" t="s">
        <v>71</v>
      </c>
      <c r="P55" s="110">
        <v>67.400000000000006</v>
      </c>
      <c r="Q55" s="110" t="s">
        <v>492</v>
      </c>
      <c r="R55" s="110" t="s">
        <v>493</v>
      </c>
      <c r="S55" s="110">
        <v>126.1</v>
      </c>
      <c r="T55" s="110" t="s">
        <v>112</v>
      </c>
      <c r="U55" s="110">
        <v>3</v>
      </c>
      <c r="V55" s="110">
        <v>1</v>
      </c>
      <c r="W55" s="123" t="s">
        <v>113</v>
      </c>
      <c r="X55" s="110" t="s">
        <v>114</v>
      </c>
      <c r="Y55" s="31"/>
      <c r="Z55" s="47"/>
      <c r="AA55" s="47"/>
      <c r="AB55" s="47"/>
      <c r="AC55" s="47"/>
      <c r="AD55" s="47"/>
      <c r="AE55" s="47"/>
      <c r="AF55" s="47"/>
      <c r="AG55" s="47"/>
      <c r="AH55" s="47"/>
      <c r="AI55" s="47"/>
      <c r="AJ55" s="47"/>
      <c r="AK55" s="47"/>
      <c r="AL55" s="47"/>
      <c r="AM55" s="47"/>
      <c r="AQ55" s="127" t="s">
        <v>383</v>
      </c>
      <c r="AR55" s="127" t="s">
        <v>474</v>
      </c>
      <c r="AS55" s="87" t="s">
        <v>410</v>
      </c>
      <c r="AT55" s="33"/>
      <c r="AU55" s="33">
        <v>63</v>
      </c>
      <c r="AV55" s="33">
        <v>57.3</v>
      </c>
    </row>
    <row r="56" spans="1:48" ht="15.75">
      <c r="A56" s="300" t="s">
        <v>43</v>
      </c>
      <c r="B56" s="301"/>
      <c r="C56" s="302">
        <v>44985</v>
      </c>
      <c r="D56" s="303"/>
      <c r="E56" s="303"/>
      <c r="F56" s="304"/>
      <c r="G56" s="305"/>
      <c r="H56" s="306"/>
      <c r="I56" s="307"/>
      <c r="J56" s="305"/>
      <c r="K56" s="306"/>
      <c r="L56" s="308"/>
      <c r="M56" s="47"/>
      <c r="N56" s="120">
        <f t="shared" si="2"/>
        <v>42</v>
      </c>
      <c r="O56" s="110" t="s">
        <v>71</v>
      </c>
      <c r="P56" s="110">
        <v>67.400000000000006</v>
      </c>
      <c r="Q56" s="110" t="s">
        <v>493</v>
      </c>
      <c r="R56" s="110" t="s">
        <v>494</v>
      </c>
      <c r="S56" s="110">
        <v>113</v>
      </c>
      <c r="T56" s="110" t="s">
        <v>112</v>
      </c>
      <c r="U56" s="110">
        <v>3</v>
      </c>
      <c r="V56" s="110">
        <v>1</v>
      </c>
      <c r="W56" s="123" t="s">
        <v>113</v>
      </c>
      <c r="X56" s="110" t="s">
        <v>114</v>
      </c>
      <c r="Y56" s="31"/>
      <c r="Z56" s="47"/>
      <c r="AA56" s="47"/>
      <c r="AB56" s="47"/>
      <c r="AC56" s="47"/>
      <c r="AD56" s="47"/>
      <c r="AE56" s="47"/>
      <c r="AF56" s="47"/>
      <c r="AG56" s="47"/>
      <c r="AH56" s="47"/>
      <c r="AI56" s="47"/>
      <c r="AJ56" s="47"/>
      <c r="AK56" s="47"/>
      <c r="AL56" s="47"/>
      <c r="AM56" s="47"/>
      <c r="AQ56" s="127" t="s">
        <v>383</v>
      </c>
      <c r="AR56" s="127" t="s">
        <v>474</v>
      </c>
      <c r="AS56" s="87" t="s">
        <v>410</v>
      </c>
      <c r="AT56" s="29"/>
      <c r="AU56" s="33">
        <v>63</v>
      </c>
      <c r="AV56" s="33">
        <v>80.599999999999994</v>
      </c>
    </row>
    <row r="57" spans="1:48" ht="15.75">
      <c r="A57" s="47"/>
      <c r="B57" s="47"/>
      <c r="C57" s="47"/>
      <c r="D57" s="47"/>
      <c r="E57" s="47"/>
      <c r="F57" s="47"/>
      <c r="G57" s="47"/>
      <c r="H57" s="47"/>
      <c r="I57" s="47"/>
      <c r="J57" s="47"/>
      <c r="K57" s="47"/>
      <c r="L57" s="47"/>
      <c r="M57" s="47"/>
      <c r="N57" s="120">
        <f t="shared" si="2"/>
        <v>43</v>
      </c>
      <c r="O57" s="110" t="s">
        <v>71</v>
      </c>
      <c r="P57" s="110">
        <v>67.400000000000006</v>
      </c>
      <c r="Q57" s="110" t="s">
        <v>492</v>
      </c>
      <c r="R57" s="110" t="s">
        <v>495</v>
      </c>
      <c r="S57" s="110">
        <v>79.7</v>
      </c>
      <c r="T57" s="110" t="s">
        <v>112</v>
      </c>
      <c r="U57" s="110">
        <v>3</v>
      </c>
      <c r="V57" s="110">
        <v>1</v>
      </c>
      <c r="W57" s="123" t="s">
        <v>113</v>
      </c>
      <c r="X57" s="110" t="s">
        <v>114</v>
      </c>
      <c r="Y57" s="31"/>
      <c r="Z57" s="47"/>
      <c r="AA57" s="47"/>
      <c r="AB57" s="47"/>
      <c r="AC57" s="47"/>
      <c r="AD57" s="47"/>
      <c r="AE57" s="47"/>
      <c r="AF57" s="47"/>
      <c r="AG57" s="47"/>
      <c r="AH57" s="47"/>
      <c r="AI57" s="47"/>
      <c r="AJ57" s="47"/>
      <c r="AK57" s="47"/>
      <c r="AL57" s="47"/>
      <c r="AM57" s="47"/>
      <c r="AQ57" s="127" t="s">
        <v>474</v>
      </c>
      <c r="AR57" s="127" t="s">
        <v>391</v>
      </c>
      <c r="AS57" s="87" t="s">
        <v>410</v>
      </c>
      <c r="AT57" s="29"/>
      <c r="AU57" s="33">
        <v>63</v>
      </c>
      <c r="AV57" s="33">
        <v>70.7</v>
      </c>
    </row>
    <row r="58" spans="1:48" ht="15.75">
      <c r="A58" s="47"/>
      <c r="B58" s="47"/>
      <c r="C58" s="47"/>
      <c r="D58" s="47"/>
      <c r="E58" s="47"/>
      <c r="F58" s="47"/>
      <c r="G58" s="47"/>
      <c r="H58" s="47"/>
      <c r="I58" s="47"/>
      <c r="J58" s="47"/>
      <c r="K58" s="47"/>
      <c r="L58" s="47"/>
      <c r="M58" s="47"/>
      <c r="N58" s="120">
        <f t="shared" si="2"/>
        <v>44</v>
      </c>
      <c r="O58" s="110" t="s">
        <v>71</v>
      </c>
      <c r="P58" s="110">
        <v>56.7</v>
      </c>
      <c r="Q58" s="110" t="s">
        <v>495</v>
      </c>
      <c r="R58" s="110" t="s">
        <v>496</v>
      </c>
      <c r="S58" s="110">
        <v>36.5</v>
      </c>
      <c r="T58" s="110" t="s">
        <v>112</v>
      </c>
      <c r="U58" s="110">
        <v>3</v>
      </c>
      <c r="V58" s="110">
        <v>1</v>
      </c>
      <c r="W58" s="123" t="s">
        <v>113</v>
      </c>
      <c r="X58" s="110" t="s">
        <v>114</v>
      </c>
      <c r="Y58" s="31"/>
      <c r="Z58" s="47"/>
      <c r="AA58" s="47"/>
      <c r="AB58" s="47"/>
      <c r="AC58" s="47"/>
      <c r="AD58" s="47"/>
      <c r="AE58" s="47"/>
      <c r="AF58" s="47"/>
      <c r="AG58" s="47"/>
      <c r="AH58" s="47"/>
      <c r="AI58" s="47"/>
      <c r="AJ58" s="47"/>
      <c r="AK58" s="47"/>
      <c r="AL58" s="47"/>
      <c r="AM58" s="47"/>
      <c r="AQ58" s="127" t="s">
        <v>339</v>
      </c>
      <c r="AR58" s="127" t="s">
        <v>214</v>
      </c>
      <c r="AS58" s="87" t="s">
        <v>410</v>
      </c>
      <c r="AT58" s="29"/>
      <c r="AU58" s="33">
        <v>63</v>
      </c>
      <c r="AV58" s="33">
        <f>37.4+2.3</f>
        <v>39.699999999999996</v>
      </c>
    </row>
    <row r="59" spans="1:48" ht="15.75">
      <c r="A59" s="47"/>
      <c r="B59" s="47"/>
      <c r="C59" s="47"/>
      <c r="D59" s="47"/>
      <c r="E59" s="47"/>
      <c r="F59" s="47"/>
      <c r="G59" s="47"/>
      <c r="H59" s="47"/>
      <c r="I59" s="47"/>
      <c r="J59" s="47"/>
      <c r="K59" s="47"/>
      <c r="L59" s="47"/>
      <c r="M59" s="47"/>
      <c r="N59" s="120">
        <f t="shared" si="2"/>
        <v>45</v>
      </c>
      <c r="O59" s="110" t="s">
        <v>71</v>
      </c>
      <c r="P59" s="110">
        <v>56.7</v>
      </c>
      <c r="Q59" s="110" t="s">
        <v>495</v>
      </c>
      <c r="R59" s="110" t="s">
        <v>497</v>
      </c>
      <c r="S59" s="110">
        <v>32</v>
      </c>
      <c r="T59" s="110" t="s">
        <v>112</v>
      </c>
      <c r="U59" s="110">
        <v>3</v>
      </c>
      <c r="V59" s="110">
        <v>1</v>
      </c>
      <c r="W59" s="123" t="s">
        <v>113</v>
      </c>
      <c r="X59" s="110" t="s">
        <v>114</v>
      </c>
      <c r="Y59" s="31"/>
      <c r="Z59" s="47"/>
      <c r="AA59" s="47"/>
      <c r="AB59" s="47"/>
      <c r="AC59" s="47"/>
      <c r="AD59" s="47"/>
      <c r="AE59" s="47"/>
      <c r="AF59" s="47"/>
      <c r="AG59" s="47"/>
      <c r="AH59" s="47"/>
      <c r="AI59" s="47"/>
      <c r="AJ59" s="47"/>
      <c r="AK59" s="47"/>
      <c r="AL59" s="47"/>
      <c r="AM59" s="47"/>
      <c r="AQ59" s="127" t="s">
        <v>238</v>
      </c>
      <c r="AR59" s="127" t="s">
        <v>399</v>
      </c>
      <c r="AS59" s="87" t="s">
        <v>410</v>
      </c>
      <c r="AT59" s="29"/>
      <c r="AU59" s="33">
        <v>63</v>
      </c>
      <c r="AV59" s="33">
        <v>83</v>
      </c>
    </row>
    <row r="60" spans="1:48" ht="15.75">
      <c r="A60" s="47"/>
      <c r="B60" s="47"/>
      <c r="C60" s="47"/>
      <c r="D60" s="47"/>
      <c r="E60" s="47"/>
      <c r="F60" s="47"/>
      <c r="G60" s="47"/>
      <c r="H60" s="47"/>
      <c r="I60" s="47"/>
      <c r="J60" s="47"/>
      <c r="K60" s="47"/>
      <c r="L60" s="47"/>
      <c r="M60" s="47"/>
      <c r="N60" s="120">
        <f t="shared" si="2"/>
        <v>46</v>
      </c>
      <c r="O60" s="110" t="s">
        <v>71</v>
      </c>
      <c r="P60" s="110">
        <v>56.7</v>
      </c>
      <c r="Q60" s="110" t="s">
        <v>497</v>
      </c>
      <c r="R60" s="110" t="s">
        <v>498</v>
      </c>
      <c r="S60" s="110">
        <v>52.5</v>
      </c>
      <c r="T60" s="110" t="s">
        <v>112</v>
      </c>
      <c r="U60" s="110">
        <v>3</v>
      </c>
      <c r="V60" s="110">
        <v>1</v>
      </c>
      <c r="W60" s="123" t="s">
        <v>113</v>
      </c>
      <c r="X60" s="110" t="s">
        <v>114</v>
      </c>
      <c r="Y60" s="31"/>
      <c r="Z60" s="47"/>
      <c r="AA60" s="47"/>
      <c r="AB60" s="47"/>
      <c r="AC60" s="47"/>
      <c r="AD60" s="47"/>
      <c r="AE60" s="47"/>
      <c r="AF60" s="47"/>
      <c r="AG60" s="47"/>
      <c r="AH60" s="47"/>
      <c r="AI60" s="47"/>
      <c r="AJ60" s="47"/>
      <c r="AK60" s="47"/>
      <c r="AL60" s="47"/>
      <c r="AM60" s="47"/>
      <c r="AQ60" s="127" t="s">
        <v>122</v>
      </c>
      <c r="AR60" s="127" t="s">
        <v>142</v>
      </c>
      <c r="AS60" s="87" t="s">
        <v>410</v>
      </c>
      <c r="AT60" s="29"/>
      <c r="AU60" s="33">
        <v>63</v>
      </c>
      <c r="AV60" s="33">
        <v>9</v>
      </c>
    </row>
    <row r="61" spans="1:48" ht="15.75">
      <c r="A61" s="47"/>
      <c r="B61" s="47"/>
      <c r="C61" s="47"/>
      <c r="D61" s="47"/>
      <c r="E61" s="47"/>
      <c r="F61" s="47"/>
      <c r="G61" s="47"/>
      <c r="H61" s="47"/>
      <c r="I61" s="47"/>
      <c r="J61" s="47"/>
      <c r="K61" s="47"/>
      <c r="L61" s="47"/>
      <c r="M61" s="47"/>
      <c r="N61" s="120">
        <f t="shared" si="2"/>
        <v>47</v>
      </c>
      <c r="O61" s="110" t="s">
        <v>71</v>
      </c>
      <c r="P61" s="110">
        <v>56.7</v>
      </c>
      <c r="Q61" s="110" t="s">
        <v>497</v>
      </c>
      <c r="R61" s="110" t="s">
        <v>304</v>
      </c>
      <c r="S61" s="110">
        <v>227.7</v>
      </c>
      <c r="T61" s="110" t="s">
        <v>112</v>
      </c>
      <c r="U61" s="110">
        <v>3</v>
      </c>
      <c r="V61" s="110">
        <v>1</v>
      </c>
      <c r="W61" s="123" t="s">
        <v>113</v>
      </c>
      <c r="X61" s="110" t="s">
        <v>114</v>
      </c>
      <c r="Y61" s="31"/>
      <c r="Z61" s="47"/>
      <c r="AA61" s="47"/>
      <c r="AB61" s="47"/>
      <c r="AC61" s="47"/>
      <c r="AD61" s="47"/>
      <c r="AE61" s="47"/>
      <c r="AF61" s="47"/>
      <c r="AG61" s="47"/>
      <c r="AH61" s="47"/>
      <c r="AI61" s="47"/>
      <c r="AJ61" s="47"/>
      <c r="AK61" s="47"/>
      <c r="AL61" s="47"/>
      <c r="AM61" s="47"/>
      <c r="AQ61" s="128" t="s">
        <v>226</v>
      </c>
      <c r="AR61" s="128" t="s">
        <v>153</v>
      </c>
      <c r="AS61" s="33" t="s">
        <v>447</v>
      </c>
      <c r="AT61" s="85">
        <v>0.39</v>
      </c>
      <c r="AU61" s="33">
        <v>75</v>
      </c>
      <c r="AV61" s="33">
        <v>68.2</v>
      </c>
    </row>
    <row r="62" spans="1:48">
      <c r="A62" s="47"/>
      <c r="B62" s="47"/>
      <c r="C62" s="47"/>
      <c r="D62" s="47"/>
      <c r="E62" s="47"/>
      <c r="F62" s="47"/>
      <c r="G62" s="47"/>
      <c r="H62" s="47"/>
      <c r="I62" s="47"/>
      <c r="J62" s="47"/>
      <c r="K62" s="47"/>
      <c r="L62" s="47"/>
      <c r="M62" s="47"/>
      <c r="N62" s="120">
        <f t="shared" si="2"/>
        <v>48</v>
      </c>
      <c r="O62" s="110" t="s">
        <v>71</v>
      </c>
      <c r="P62" s="110">
        <v>56.7</v>
      </c>
      <c r="Q62" s="110" t="s">
        <v>499</v>
      </c>
      <c r="R62" s="110" t="s">
        <v>500</v>
      </c>
      <c r="S62" s="110">
        <v>11</v>
      </c>
      <c r="T62" s="110" t="s">
        <v>112</v>
      </c>
      <c r="U62" s="110">
        <v>3</v>
      </c>
      <c r="V62" s="110">
        <v>1</v>
      </c>
      <c r="W62" s="123" t="s">
        <v>113</v>
      </c>
      <c r="X62" s="110" t="s">
        <v>114</v>
      </c>
      <c r="Y62" s="31"/>
      <c r="Z62" s="47"/>
      <c r="AA62" s="47"/>
      <c r="AB62" s="47"/>
      <c r="AC62" s="47"/>
      <c r="AD62" s="47"/>
      <c r="AE62" s="47"/>
      <c r="AF62" s="47"/>
      <c r="AG62" s="47"/>
      <c r="AH62" s="47"/>
      <c r="AI62" s="47"/>
      <c r="AJ62" s="47"/>
      <c r="AK62" s="47"/>
      <c r="AL62" s="47"/>
      <c r="AM62" s="47"/>
      <c r="AQ62" s="127" t="s">
        <v>421</v>
      </c>
      <c r="AR62" s="127" t="s">
        <v>123</v>
      </c>
      <c r="AS62" s="33" t="s">
        <v>447</v>
      </c>
      <c r="AT62" s="29">
        <v>0.39</v>
      </c>
      <c r="AU62" s="33">
        <v>63</v>
      </c>
      <c r="AV62" s="33">
        <v>12.2</v>
      </c>
    </row>
    <row r="63" spans="1:48" ht="15.75">
      <c r="A63" s="47"/>
      <c r="B63" s="47"/>
      <c r="C63" s="47"/>
      <c r="D63" s="47"/>
      <c r="E63" s="47"/>
      <c r="F63" s="47"/>
      <c r="G63" s="47"/>
      <c r="H63" s="47"/>
      <c r="I63" s="47"/>
      <c r="J63" s="47"/>
      <c r="K63" s="47"/>
      <c r="L63" s="47"/>
      <c r="M63" s="47"/>
      <c r="N63" s="120">
        <f t="shared" si="2"/>
        <v>49</v>
      </c>
      <c r="O63" s="110" t="s">
        <v>71</v>
      </c>
      <c r="P63" s="110">
        <v>56.7</v>
      </c>
      <c r="Q63" s="110" t="s">
        <v>353</v>
      </c>
      <c r="R63" s="110" t="s">
        <v>501</v>
      </c>
      <c r="S63" s="110">
        <v>126.2</v>
      </c>
      <c r="T63" s="110" t="s">
        <v>112</v>
      </c>
      <c r="U63" s="110">
        <v>3</v>
      </c>
      <c r="V63" s="110">
        <v>1</v>
      </c>
      <c r="W63" s="123" t="s">
        <v>113</v>
      </c>
      <c r="X63" s="110" t="s">
        <v>114</v>
      </c>
      <c r="Y63" s="31"/>
      <c r="Z63" s="47"/>
      <c r="AA63" s="47"/>
      <c r="AB63" s="47"/>
      <c r="AC63" s="47"/>
      <c r="AD63" s="47"/>
      <c r="AE63" s="47"/>
      <c r="AF63" s="47"/>
      <c r="AG63" s="47"/>
      <c r="AH63" s="47"/>
      <c r="AI63" s="47"/>
      <c r="AJ63" s="47"/>
      <c r="AK63" s="47"/>
      <c r="AL63" s="47"/>
      <c r="AM63" s="47"/>
      <c r="AQ63" s="127" t="s">
        <v>421</v>
      </c>
      <c r="AR63" s="127" t="s">
        <v>123</v>
      </c>
      <c r="AS63" s="87" t="s">
        <v>410</v>
      </c>
      <c r="AT63" s="29"/>
      <c r="AU63" s="33">
        <v>63</v>
      </c>
      <c r="AV63" s="33">
        <v>25.2</v>
      </c>
    </row>
    <row r="64" spans="1:48" ht="15.75">
      <c r="A64" s="47"/>
      <c r="B64" s="47"/>
      <c r="C64" s="47"/>
      <c r="D64" s="47"/>
      <c r="E64" s="47"/>
      <c r="F64" s="47"/>
      <c r="G64" s="47"/>
      <c r="H64" s="47"/>
      <c r="I64" s="47"/>
      <c r="J64" s="47"/>
      <c r="K64" s="47"/>
      <c r="L64" s="47"/>
      <c r="M64" s="47"/>
      <c r="N64" s="120">
        <f t="shared" si="2"/>
        <v>50</v>
      </c>
      <c r="O64" s="110" t="s">
        <v>71</v>
      </c>
      <c r="P64" s="110">
        <v>56.7</v>
      </c>
      <c r="Q64" s="55" t="s">
        <v>422</v>
      </c>
      <c r="R64" s="55" t="s">
        <v>424</v>
      </c>
      <c r="S64" s="55">
        <v>17.2</v>
      </c>
      <c r="T64" s="110" t="s">
        <v>125</v>
      </c>
      <c r="U64" s="110">
        <v>3</v>
      </c>
      <c r="V64" s="110">
        <v>1</v>
      </c>
      <c r="W64" s="123" t="s">
        <v>113</v>
      </c>
      <c r="X64" s="110" t="s">
        <v>114</v>
      </c>
      <c r="Y64" s="31"/>
      <c r="Z64" s="47"/>
      <c r="AA64" s="47"/>
      <c r="AB64" s="47"/>
      <c r="AC64" s="47"/>
      <c r="AD64" s="47"/>
      <c r="AE64" s="47"/>
      <c r="AF64" s="47"/>
      <c r="AG64" s="47"/>
      <c r="AH64" s="47"/>
      <c r="AI64" s="47"/>
      <c r="AJ64" s="47"/>
      <c r="AK64" s="47"/>
      <c r="AL64" s="47"/>
      <c r="AM64" s="47"/>
      <c r="AQ64" s="127" t="s">
        <v>248</v>
      </c>
      <c r="AR64" s="127" t="s">
        <v>382</v>
      </c>
      <c r="AS64" s="87" t="s">
        <v>410</v>
      </c>
      <c r="AT64" s="29"/>
      <c r="AU64" s="33">
        <v>63</v>
      </c>
      <c r="AV64" s="33">
        <v>59.6</v>
      </c>
    </row>
    <row r="65" spans="1:48" ht="15.75">
      <c r="A65" s="47"/>
      <c r="B65" s="47"/>
      <c r="C65" s="47"/>
      <c r="D65" s="47"/>
      <c r="E65" s="47"/>
      <c r="F65" s="47"/>
      <c r="G65" s="47"/>
      <c r="H65" s="47"/>
      <c r="I65" s="47"/>
      <c r="J65" s="47"/>
      <c r="K65" s="47"/>
      <c r="L65" s="47"/>
      <c r="M65" s="47"/>
      <c r="N65" s="120">
        <f t="shared" si="2"/>
        <v>51</v>
      </c>
      <c r="O65" s="110" t="s">
        <v>71</v>
      </c>
      <c r="P65" s="110">
        <v>56.7</v>
      </c>
      <c r="Q65" s="55" t="s">
        <v>450</v>
      </c>
      <c r="R65" s="55" t="s">
        <v>482</v>
      </c>
      <c r="S65" s="55">
        <v>21.8</v>
      </c>
      <c r="T65" s="110" t="s">
        <v>131</v>
      </c>
      <c r="U65" s="110">
        <v>3</v>
      </c>
      <c r="V65" s="110">
        <v>1</v>
      </c>
      <c r="W65" s="123" t="s">
        <v>113</v>
      </c>
      <c r="X65" s="110" t="s">
        <v>114</v>
      </c>
      <c r="Y65" s="31"/>
      <c r="Z65" s="47"/>
      <c r="AA65" s="47"/>
      <c r="AB65" s="47"/>
      <c r="AC65" s="47"/>
      <c r="AD65" s="47"/>
      <c r="AE65" s="47"/>
      <c r="AF65" s="47"/>
      <c r="AG65" s="47"/>
      <c r="AH65" s="47"/>
      <c r="AI65" s="47"/>
      <c r="AJ65" s="47"/>
      <c r="AK65" s="47"/>
      <c r="AL65" s="47"/>
      <c r="AM65" s="47"/>
      <c r="AQ65" s="127"/>
      <c r="AR65" s="127"/>
      <c r="AS65" s="87"/>
      <c r="AT65" s="29"/>
      <c r="AU65" s="33"/>
      <c r="AV65" s="33"/>
    </row>
    <row r="66" spans="1:48" ht="15.75">
      <c r="A66" s="47"/>
      <c r="B66" s="47"/>
      <c r="C66" s="47"/>
      <c r="D66" s="47"/>
      <c r="E66" s="47"/>
      <c r="F66" s="47"/>
      <c r="G66" s="47"/>
      <c r="H66" s="47"/>
      <c r="I66" s="47"/>
      <c r="J66" s="47"/>
      <c r="K66" s="47"/>
      <c r="L66" s="47"/>
      <c r="M66" s="47"/>
      <c r="N66" s="120">
        <f t="shared" si="2"/>
        <v>52</v>
      </c>
      <c r="O66" s="110" t="s">
        <v>71</v>
      </c>
      <c r="P66" s="110">
        <v>56.7</v>
      </c>
      <c r="Q66" s="55" t="s">
        <v>368</v>
      </c>
      <c r="R66" s="55" t="s">
        <v>326</v>
      </c>
      <c r="S66" s="55">
        <v>30</v>
      </c>
      <c r="T66" s="110" t="s">
        <v>137</v>
      </c>
      <c r="U66" s="110">
        <v>3</v>
      </c>
      <c r="V66" s="110">
        <v>1</v>
      </c>
      <c r="W66" s="123" t="s">
        <v>113</v>
      </c>
      <c r="X66" s="110" t="s">
        <v>114</v>
      </c>
      <c r="Y66" s="31"/>
      <c r="Z66" s="47"/>
      <c r="AA66" s="47"/>
      <c r="AB66" s="47"/>
      <c r="AC66" s="47"/>
      <c r="AD66" s="47"/>
      <c r="AE66" s="47"/>
      <c r="AF66" s="47"/>
      <c r="AG66" s="47"/>
      <c r="AH66" s="47"/>
      <c r="AI66" s="47"/>
      <c r="AJ66" s="47"/>
      <c r="AK66" s="47"/>
      <c r="AL66" s="47"/>
      <c r="AM66" s="47"/>
      <c r="AQ66" s="127"/>
      <c r="AR66" s="127"/>
      <c r="AS66" s="87"/>
      <c r="AT66" s="29"/>
      <c r="AU66" s="33"/>
      <c r="AV66" s="33"/>
    </row>
    <row r="67" spans="1:48" ht="15.75">
      <c r="A67" s="47"/>
      <c r="B67" s="47"/>
      <c r="C67" s="47"/>
      <c r="D67" s="47"/>
      <c r="E67" s="47"/>
      <c r="F67" s="47"/>
      <c r="G67" s="47"/>
      <c r="H67" s="47"/>
      <c r="I67" s="47"/>
      <c r="J67" s="47"/>
      <c r="K67" s="47"/>
      <c r="L67" s="47"/>
      <c r="M67" s="47"/>
      <c r="N67" s="120">
        <f t="shared" si="2"/>
        <v>53</v>
      </c>
      <c r="O67" s="110" t="s">
        <v>71</v>
      </c>
      <c r="P67" s="110">
        <v>56.7</v>
      </c>
      <c r="Q67" s="55" t="s">
        <v>330</v>
      </c>
      <c r="R67" s="55" t="s">
        <v>440</v>
      </c>
      <c r="S67" s="55">
        <v>68.2</v>
      </c>
      <c r="T67" s="110" t="s">
        <v>144</v>
      </c>
      <c r="U67" s="110">
        <v>3</v>
      </c>
      <c r="V67" s="110">
        <v>1</v>
      </c>
      <c r="W67" s="123" t="s">
        <v>113</v>
      </c>
      <c r="X67" s="110" t="s">
        <v>114</v>
      </c>
      <c r="Y67" s="31"/>
      <c r="Z67" s="47"/>
      <c r="AA67" s="47"/>
      <c r="AB67" s="47"/>
      <c r="AC67" s="47"/>
      <c r="AD67" s="47"/>
      <c r="AE67" s="47"/>
      <c r="AF67" s="47"/>
      <c r="AG67" s="47"/>
      <c r="AH67" s="47"/>
      <c r="AI67" s="47"/>
      <c r="AJ67" s="47"/>
      <c r="AK67" s="47"/>
      <c r="AL67" s="47"/>
      <c r="AM67" s="47"/>
      <c r="AQ67" s="127"/>
      <c r="AR67" s="127"/>
      <c r="AS67" s="87"/>
      <c r="AT67" s="29"/>
      <c r="AU67" s="33"/>
      <c r="AV67" s="33"/>
    </row>
    <row r="68" spans="1:48" ht="15.75">
      <c r="A68" s="47"/>
      <c r="B68" s="47"/>
      <c r="C68" s="47"/>
      <c r="D68" s="47"/>
      <c r="E68" s="47"/>
      <c r="F68" s="47"/>
      <c r="G68" s="47"/>
      <c r="H68" s="47"/>
      <c r="I68" s="47"/>
      <c r="J68" s="47"/>
      <c r="K68" s="47"/>
      <c r="L68" s="47"/>
      <c r="M68" s="47"/>
      <c r="N68" s="55"/>
      <c r="O68" s="55"/>
      <c r="P68" s="55"/>
      <c r="Q68" s="55"/>
      <c r="R68" s="55"/>
      <c r="S68" s="55"/>
      <c r="T68" s="55"/>
      <c r="U68" s="55"/>
      <c r="V68" s="55"/>
      <c r="W68" s="55"/>
      <c r="X68" s="55"/>
      <c r="Y68" s="31"/>
      <c r="Z68" s="47"/>
      <c r="AA68" s="47"/>
      <c r="AB68" s="47"/>
      <c r="AC68" s="47"/>
      <c r="AD68" s="47"/>
      <c r="AE68" s="47"/>
      <c r="AF68" s="47"/>
      <c r="AG68" s="47"/>
      <c r="AH68" s="47"/>
      <c r="AI68" s="47"/>
      <c r="AJ68" s="47"/>
      <c r="AK68" s="47"/>
      <c r="AL68" s="47"/>
      <c r="AM68" s="47"/>
      <c r="AQ68" s="127"/>
      <c r="AR68" s="127"/>
      <c r="AS68" s="87"/>
      <c r="AT68" s="29"/>
      <c r="AU68" s="33"/>
      <c r="AV68" s="33"/>
    </row>
    <row r="69" spans="1:48" ht="15.75">
      <c r="A69" s="47"/>
      <c r="B69" s="47"/>
      <c r="C69" s="47"/>
      <c r="D69" s="47"/>
      <c r="E69" s="47"/>
      <c r="F69" s="47"/>
      <c r="G69" s="47"/>
      <c r="H69" s="47"/>
      <c r="I69" s="47"/>
      <c r="J69" s="47"/>
      <c r="K69" s="47"/>
      <c r="L69" s="47"/>
      <c r="M69" s="47"/>
      <c r="N69" s="31"/>
      <c r="O69" s="31"/>
      <c r="P69" s="31"/>
      <c r="Q69" s="31"/>
      <c r="R69" s="31"/>
      <c r="S69" s="31"/>
      <c r="T69" s="31"/>
      <c r="U69" s="31"/>
      <c r="V69" s="31"/>
      <c r="W69" s="31"/>
      <c r="X69" s="31"/>
      <c r="Y69" s="31"/>
      <c r="Z69" s="47"/>
      <c r="AA69" s="47"/>
      <c r="AB69" s="47"/>
      <c r="AC69" s="47"/>
      <c r="AD69" s="47"/>
      <c r="AE69" s="47"/>
      <c r="AF69" s="47"/>
      <c r="AG69" s="47"/>
      <c r="AH69" s="47"/>
      <c r="AI69" s="47"/>
      <c r="AJ69" s="47"/>
      <c r="AK69" s="47"/>
      <c r="AL69" s="47"/>
      <c r="AM69" s="47"/>
      <c r="AQ69" s="127"/>
      <c r="AR69" s="127"/>
      <c r="AS69" s="87"/>
      <c r="AT69" s="29"/>
      <c r="AU69" s="33"/>
      <c r="AV69" s="33"/>
    </row>
    <row r="70" spans="1:48">
      <c r="A70" s="47"/>
      <c r="B70" s="47"/>
      <c r="C70" s="47"/>
      <c r="D70" s="47"/>
      <c r="E70" s="47"/>
      <c r="F70" s="47"/>
      <c r="G70" s="47"/>
      <c r="H70" s="47"/>
      <c r="I70" s="47"/>
      <c r="J70" s="47"/>
      <c r="K70" s="47"/>
      <c r="L70" s="47"/>
      <c r="M70" s="47"/>
      <c r="N70" s="31"/>
      <c r="O70" s="31"/>
      <c r="P70" s="31"/>
      <c r="Q70" s="31"/>
      <c r="R70" s="31"/>
      <c r="S70" s="31"/>
      <c r="T70" s="31"/>
      <c r="U70" s="31"/>
      <c r="V70" s="31"/>
      <c r="W70" s="31"/>
      <c r="X70" s="31"/>
      <c r="Y70" s="31"/>
      <c r="Z70" s="47"/>
      <c r="AA70" s="47"/>
      <c r="AB70" s="47"/>
      <c r="AC70" s="47"/>
      <c r="AD70" s="47"/>
      <c r="AE70" s="47"/>
      <c r="AF70" s="47"/>
      <c r="AG70" s="47"/>
      <c r="AH70" s="47"/>
      <c r="AI70" s="47"/>
      <c r="AJ70" s="47"/>
      <c r="AK70" s="47"/>
      <c r="AL70" s="47"/>
      <c r="AM70" s="47"/>
      <c r="AQ70" s="127" t="s">
        <v>248</v>
      </c>
      <c r="AR70" s="127" t="s">
        <v>382</v>
      </c>
      <c r="AS70" s="33" t="s">
        <v>447</v>
      </c>
      <c r="AT70" s="29"/>
      <c r="AU70" s="33">
        <v>63</v>
      </c>
      <c r="AV70" s="33">
        <v>89.6</v>
      </c>
    </row>
    <row r="71" spans="1:48" ht="15.75">
      <c r="A71" s="47"/>
      <c r="B71" s="47"/>
      <c r="C71" s="47"/>
      <c r="D71" s="47"/>
      <c r="E71" s="47"/>
      <c r="F71" s="47"/>
      <c r="G71" s="47"/>
      <c r="H71" s="47"/>
      <c r="I71" s="47"/>
      <c r="J71" s="47"/>
      <c r="K71" s="47"/>
      <c r="L71" s="47"/>
      <c r="M71" s="47"/>
      <c r="N71" s="313"/>
      <c r="O71" s="314"/>
      <c r="P71" s="309" t="s">
        <v>86</v>
      </c>
      <c r="Q71" s="310"/>
      <c r="R71" s="310"/>
      <c r="S71" s="311"/>
      <c r="T71" s="309" t="s">
        <v>87</v>
      </c>
      <c r="U71" s="310"/>
      <c r="V71" s="311"/>
      <c r="W71" s="309" t="s">
        <v>39</v>
      </c>
      <c r="X71" s="310"/>
      <c r="Y71" s="312"/>
      <c r="Z71" s="47"/>
      <c r="AA71" s="47"/>
      <c r="AB71" s="47"/>
      <c r="AC71" s="47"/>
      <c r="AD71" s="47"/>
      <c r="AE71" s="47"/>
      <c r="AF71" s="47"/>
      <c r="AG71" s="47"/>
      <c r="AH71" s="47"/>
      <c r="AI71" s="47"/>
      <c r="AJ71" s="47"/>
      <c r="AK71" s="47"/>
      <c r="AL71" s="47"/>
      <c r="AM71" s="47"/>
      <c r="AQ71" s="127" t="s">
        <v>248</v>
      </c>
      <c r="AR71" s="127" t="s">
        <v>297</v>
      </c>
      <c r="AS71" s="129" t="s">
        <v>487</v>
      </c>
      <c r="AT71" s="29">
        <v>0.44</v>
      </c>
      <c r="AU71" s="33">
        <v>63</v>
      </c>
      <c r="AV71" s="33">
        <v>203</v>
      </c>
    </row>
    <row r="72" spans="1:48" ht="15.75">
      <c r="A72" s="47"/>
      <c r="B72" s="47"/>
      <c r="C72" s="47"/>
      <c r="D72" s="47"/>
      <c r="E72" s="47"/>
      <c r="F72" s="47"/>
      <c r="G72" s="47"/>
      <c r="H72" s="47"/>
      <c r="I72" s="47"/>
      <c r="J72" s="47"/>
      <c r="K72" s="47"/>
      <c r="L72" s="47"/>
      <c r="M72" s="47"/>
      <c r="N72" s="294" t="s">
        <v>40</v>
      </c>
      <c r="O72" s="295"/>
      <c r="P72" s="296" t="s">
        <v>133</v>
      </c>
      <c r="Q72" s="297"/>
      <c r="R72" s="297"/>
      <c r="S72" s="298"/>
      <c r="T72" s="296"/>
      <c r="U72" s="297"/>
      <c r="V72" s="298"/>
      <c r="W72" s="296"/>
      <c r="X72" s="297"/>
      <c r="Y72" s="299"/>
      <c r="Z72" s="47"/>
      <c r="AA72" s="47"/>
      <c r="AB72" s="47"/>
      <c r="AC72" s="47"/>
      <c r="AD72" s="47"/>
      <c r="AE72" s="47"/>
      <c r="AF72" s="47"/>
      <c r="AG72" s="47"/>
      <c r="AH72" s="47"/>
      <c r="AI72" s="47"/>
      <c r="AJ72" s="47"/>
      <c r="AK72" s="47"/>
      <c r="AL72" s="47"/>
      <c r="AM72" s="47"/>
      <c r="AQ72" s="130" t="s">
        <v>241</v>
      </c>
      <c r="AR72" s="130" t="s">
        <v>210</v>
      </c>
      <c r="AS72" s="87" t="s">
        <v>410</v>
      </c>
      <c r="AU72" s="33">
        <v>63</v>
      </c>
      <c r="AV72" s="131">
        <v>60.4</v>
      </c>
    </row>
    <row r="73" spans="1:48" ht="15.75">
      <c r="A73" s="47"/>
      <c r="B73" s="47"/>
      <c r="C73" s="47"/>
      <c r="D73" s="47"/>
      <c r="E73" s="47"/>
      <c r="F73" s="47"/>
      <c r="G73" s="47"/>
      <c r="H73" s="47"/>
      <c r="I73" s="47"/>
      <c r="J73" s="47"/>
      <c r="K73" s="47"/>
      <c r="L73" s="47"/>
      <c r="M73" s="47"/>
      <c r="N73" s="294" t="s">
        <v>41</v>
      </c>
      <c r="O73" s="295"/>
      <c r="P73" s="296" t="s">
        <v>140</v>
      </c>
      <c r="Q73" s="297"/>
      <c r="R73" s="297"/>
      <c r="S73" s="298"/>
      <c r="T73" s="296"/>
      <c r="U73" s="297"/>
      <c r="V73" s="298"/>
      <c r="W73" s="296"/>
      <c r="X73" s="297"/>
      <c r="Y73" s="299"/>
      <c r="Z73" s="47"/>
      <c r="AA73" s="47"/>
      <c r="AB73" s="47"/>
      <c r="AC73" s="47"/>
      <c r="AD73" s="47"/>
      <c r="AE73" s="47"/>
      <c r="AF73" s="47"/>
      <c r="AG73" s="47"/>
      <c r="AH73" s="47"/>
      <c r="AI73" s="47"/>
      <c r="AJ73" s="47"/>
      <c r="AK73" s="47"/>
      <c r="AL73" s="47"/>
      <c r="AM73" s="47"/>
      <c r="AQ73" s="127" t="s">
        <v>241</v>
      </c>
      <c r="AR73" s="127" t="s">
        <v>248</v>
      </c>
      <c r="AS73" s="87" t="s">
        <v>410</v>
      </c>
      <c r="AT73" s="29"/>
      <c r="AU73" s="33">
        <v>63</v>
      </c>
      <c r="AV73" s="33">
        <v>94.2</v>
      </c>
    </row>
    <row r="74" spans="1:48" ht="15.75">
      <c r="A74" s="47"/>
      <c r="B74" s="47"/>
      <c r="C74" s="47"/>
      <c r="D74" s="47"/>
      <c r="E74" s="47"/>
      <c r="F74" s="47"/>
      <c r="G74" s="47"/>
      <c r="H74" s="47"/>
      <c r="I74" s="47"/>
      <c r="J74" s="47"/>
      <c r="K74" s="47"/>
      <c r="L74" s="47"/>
      <c r="M74" s="47"/>
      <c r="N74" s="294" t="s">
        <v>42</v>
      </c>
      <c r="O74" s="295"/>
      <c r="P74" s="296"/>
      <c r="Q74" s="297"/>
      <c r="R74" s="297"/>
      <c r="S74" s="298"/>
      <c r="T74" s="296"/>
      <c r="U74" s="297"/>
      <c r="V74" s="298"/>
      <c r="W74" s="296"/>
      <c r="X74" s="297"/>
      <c r="Y74" s="299"/>
      <c r="Z74" s="47"/>
      <c r="AA74" s="47"/>
      <c r="AB74" s="47"/>
      <c r="AC74" s="47"/>
      <c r="AD74" s="47"/>
      <c r="AE74" s="47"/>
      <c r="AF74" s="47"/>
      <c r="AG74" s="47"/>
      <c r="AH74" s="47"/>
      <c r="AI74" s="47"/>
      <c r="AJ74" s="47"/>
      <c r="AK74" s="47"/>
      <c r="AL74" s="47"/>
      <c r="AM74" s="47"/>
      <c r="AQ74" s="128" t="s">
        <v>502</v>
      </c>
      <c r="AR74" s="128" t="s">
        <v>503</v>
      </c>
      <c r="AS74" s="87" t="s">
        <v>410</v>
      </c>
      <c r="AT74" s="29"/>
      <c r="AU74" s="33">
        <v>63</v>
      </c>
      <c r="AV74" s="33">
        <v>36.5</v>
      </c>
    </row>
    <row r="75" spans="1:48" ht="15.75">
      <c r="A75" s="47"/>
      <c r="B75" s="47"/>
      <c r="C75" s="47"/>
      <c r="D75" s="47"/>
      <c r="E75" s="47"/>
      <c r="F75" s="47"/>
      <c r="G75" s="47"/>
      <c r="H75" s="47"/>
      <c r="I75" s="47"/>
      <c r="J75" s="47"/>
      <c r="K75" s="47"/>
      <c r="L75" s="47"/>
      <c r="M75" s="47"/>
      <c r="N75" s="300" t="s">
        <v>43</v>
      </c>
      <c r="O75" s="301"/>
      <c r="P75" s="302"/>
      <c r="Q75" s="303"/>
      <c r="R75" s="303"/>
      <c r="S75" s="304"/>
      <c r="T75" s="305"/>
      <c r="U75" s="306"/>
      <c r="V75" s="307"/>
      <c r="W75" s="305"/>
      <c r="X75" s="306"/>
      <c r="Y75" s="308"/>
      <c r="Z75" s="47"/>
      <c r="AA75" s="47"/>
      <c r="AB75" s="47"/>
      <c r="AC75" s="47"/>
      <c r="AD75" s="47"/>
      <c r="AE75" s="47"/>
      <c r="AF75" s="47"/>
      <c r="AG75" s="47"/>
      <c r="AH75" s="47"/>
      <c r="AI75" s="47"/>
      <c r="AJ75" s="47"/>
      <c r="AK75" s="47"/>
      <c r="AL75" s="47"/>
      <c r="AM75" s="47"/>
      <c r="AQ75" s="127" t="s">
        <v>241</v>
      </c>
      <c r="AR75" s="127" t="s">
        <v>248</v>
      </c>
      <c r="AS75" s="129" t="s">
        <v>487</v>
      </c>
      <c r="AT75" s="29">
        <v>0.44</v>
      </c>
      <c r="AU75" s="33">
        <v>63</v>
      </c>
      <c r="AV75" s="33">
        <v>57</v>
      </c>
    </row>
    <row r="76" spans="1:48" ht="15.75">
      <c r="A76" s="47"/>
      <c r="B76" s="47"/>
      <c r="C76" s="47"/>
      <c r="D76" s="47"/>
      <c r="E76" s="47"/>
      <c r="F76" s="47"/>
      <c r="G76" s="47"/>
      <c r="H76" s="47"/>
      <c r="I76" s="47"/>
      <c r="J76" s="47"/>
      <c r="K76" s="47"/>
      <c r="L76" s="47"/>
      <c r="M76" s="47"/>
      <c r="N76" s="47"/>
      <c r="O76" s="47"/>
      <c r="P76" s="47"/>
      <c r="Q76" s="47"/>
      <c r="R76" s="47"/>
      <c r="S76" s="47"/>
      <c r="T76" s="47"/>
      <c r="U76" s="47"/>
      <c r="V76" s="47"/>
      <c r="W76" s="47"/>
      <c r="X76" s="47"/>
      <c r="Y76" s="47"/>
      <c r="Z76" s="47"/>
      <c r="AA76" s="47"/>
      <c r="AB76" s="47"/>
      <c r="AC76" s="47"/>
      <c r="AD76" s="47"/>
      <c r="AE76" s="47"/>
      <c r="AF76" s="47"/>
      <c r="AG76" s="47"/>
      <c r="AH76" s="47"/>
      <c r="AI76" s="47"/>
      <c r="AJ76" s="47"/>
      <c r="AK76" s="47"/>
      <c r="AL76" s="47"/>
      <c r="AM76" s="47"/>
      <c r="AQ76" s="127" t="s">
        <v>194</v>
      </c>
      <c r="AR76" s="127" t="s">
        <v>305</v>
      </c>
      <c r="AS76" s="85" t="s">
        <v>447</v>
      </c>
      <c r="AT76" s="33">
        <v>0.39</v>
      </c>
      <c r="AU76" s="33">
        <v>63</v>
      </c>
      <c r="AV76" s="33">
        <v>84.6</v>
      </c>
    </row>
    <row r="77" spans="1:48" ht="15.75">
      <c r="AQ77" s="127" t="s">
        <v>275</v>
      </c>
      <c r="AR77" s="127" t="s">
        <v>115</v>
      </c>
      <c r="AS77" s="87" t="s">
        <v>410</v>
      </c>
      <c r="AT77" s="33"/>
      <c r="AU77" s="33">
        <v>63</v>
      </c>
      <c r="AV77" s="33">
        <v>17.600000000000001</v>
      </c>
    </row>
    <row r="78" spans="1:48" ht="15.75">
      <c r="AQ78" s="127" t="s">
        <v>115</v>
      </c>
      <c r="AR78" s="127" t="s">
        <v>216</v>
      </c>
      <c r="AS78" s="87" t="s">
        <v>410</v>
      </c>
      <c r="AT78" s="33"/>
      <c r="AU78" s="33">
        <v>63</v>
      </c>
      <c r="AV78" s="33">
        <v>47.4</v>
      </c>
    </row>
    <row r="79" spans="1:48">
      <c r="AQ79" s="127" t="s">
        <v>504</v>
      </c>
      <c r="AR79" s="127" t="s">
        <v>505</v>
      </c>
      <c r="AS79" s="33" t="s">
        <v>487</v>
      </c>
      <c r="AT79" s="33">
        <v>0.39</v>
      </c>
      <c r="AU79" s="33">
        <v>63</v>
      </c>
      <c r="AV79" s="33">
        <v>12.5</v>
      </c>
    </row>
    <row r="80" spans="1:48" ht="15.75">
      <c r="AQ80" s="127" t="s">
        <v>504</v>
      </c>
      <c r="AR80" s="127" t="s">
        <v>505</v>
      </c>
      <c r="AS80" s="87" t="s">
        <v>410</v>
      </c>
      <c r="AT80" s="61"/>
      <c r="AU80" s="33">
        <v>63</v>
      </c>
      <c r="AV80" s="33">
        <v>79.400000000000006</v>
      </c>
    </row>
    <row r="81" spans="43:48">
      <c r="AQ81" s="127" t="s">
        <v>504</v>
      </c>
      <c r="AR81" s="127" t="s">
        <v>220</v>
      </c>
      <c r="AS81" s="33" t="s">
        <v>447</v>
      </c>
      <c r="AT81" s="33">
        <v>0.39</v>
      </c>
      <c r="AU81" s="33">
        <v>63</v>
      </c>
      <c r="AV81" s="33">
        <v>18</v>
      </c>
    </row>
    <row r="82" spans="43:48" ht="15.75">
      <c r="AQ82" s="127" t="s">
        <v>504</v>
      </c>
      <c r="AR82" s="127" t="s">
        <v>220</v>
      </c>
      <c r="AS82" s="87" t="s">
        <v>410</v>
      </c>
      <c r="AT82" s="61"/>
      <c r="AU82" s="33">
        <v>63</v>
      </c>
      <c r="AV82" s="33">
        <f>143+28.2</f>
        <v>171.2</v>
      </c>
    </row>
    <row r="83" spans="43:48" ht="15.75">
      <c r="AQ83" s="127" t="s">
        <v>319</v>
      </c>
      <c r="AR83" s="127" t="s">
        <v>300</v>
      </c>
      <c r="AS83" s="85" t="s">
        <v>447</v>
      </c>
      <c r="AT83" s="33">
        <v>0.39</v>
      </c>
      <c r="AU83" s="33">
        <v>63</v>
      </c>
      <c r="AV83" s="33">
        <v>13</v>
      </c>
    </row>
    <row r="84" spans="43:48" ht="15.75">
      <c r="AQ84" s="128" t="s">
        <v>300</v>
      </c>
      <c r="AR84" s="128" t="s">
        <v>233</v>
      </c>
      <c r="AS84" s="87" t="s">
        <v>410</v>
      </c>
      <c r="AT84" s="33"/>
      <c r="AU84" s="33">
        <v>63</v>
      </c>
      <c r="AV84" s="33">
        <v>21.8</v>
      </c>
    </row>
    <row r="85" spans="43:48" ht="15.75">
      <c r="AQ85" s="127" t="s">
        <v>300</v>
      </c>
      <c r="AR85" s="127" t="s">
        <v>310</v>
      </c>
      <c r="AS85" s="87" t="s">
        <v>410</v>
      </c>
      <c r="AT85" s="33"/>
      <c r="AU85" s="33">
        <v>63</v>
      </c>
      <c r="AV85" s="33">
        <v>42.4</v>
      </c>
    </row>
    <row r="86" spans="43:48" ht="15.75">
      <c r="AQ86" s="127" t="s">
        <v>506</v>
      </c>
      <c r="AR86" s="127" t="s">
        <v>230</v>
      </c>
      <c r="AS86" s="87" t="s">
        <v>410</v>
      </c>
      <c r="AT86" s="33"/>
      <c r="AU86" s="33">
        <v>63</v>
      </c>
      <c r="AV86" s="99">
        <v>50</v>
      </c>
    </row>
    <row r="87" spans="43:48" ht="15.75">
      <c r="AQ87" s="128" t="s">
        <v>381</v>
      </c>
      <c r="AR87" s="128" t="s">
        <v>154</v>
      </c>
      <c r="AS87" s="87" t="s">
        <v>410</v>
      </c>
      <c r="AT87" s="85"/>
      <c r="AU87" s="33">
        <v>63</v>
      </c>
      <c r="AV87" s="33">
        <v>30</v>
      </c>
    </row>
    <row r="88" spans="43:48" ht="15.75">
      <c r="AQ88" s="127" t="s">
        <v>386</v>
      </c>
      <c r="AR88" s="127" t="s">
        <v>287</v>
      </c>
      <c r="AS88" s="87" t="s">
        <v>410</v>
      </c>
      <c r="AT88" s="33"/>
      <c r="AU88" s="33">
        <v>63</v>
      </c>
      <c r="AV88" s="33">
        <v>27.5</v>
      </c>
    </row>
    <row r="89" spans="43:48" ht="15.75">
      <c r="AQ89" s="127" t="s">
        <v>198</v>
      </c>
      <c r="AR89" s="127" t="s">
        <v>451</v>
      </c>
      <c r="AS89" s="85" t="s">
        <v>416</v>
      </c>
      <c r="AT89" s="33">
        <v>0.39</v>
      </c>
      <c r="AU89" s="33">
        <v>63</v>
      </c>
      <c r="AV89" s="33">
        <v>3.5</v>
      </c>
    </row>
    <row r="90" spans="43:48" ht="15.75">
      <c r="AQ90" s="127" t="s">
        <v>198</v>
      </c>
      <c r="AR90" s="127" t="s">
        <v>451</v>
      </c>
      <c r="AS90" s="85" t="s">
        <v>447</v>
      </c>
      <c r="AT90" s="33">
        <v>0.39</v>
      </c>
      <c r="AU90" s="33">
        <v>63</v>
      </c>
      <c r="AV90" s="33">
        <v>43.4</v>
      </c>
    </row>
    <row r="91" spans="43:48" ht="15.75">
      <c r="AQ91" s="127" t="s">
        <v>198</v>
      </c>
      <c r="AR91" s="127" t="s">
        <v>451</v>
      </c>
      <c r="AS91" s="87" t="s">
        <v>410</v>
      </c>
      <c r="AT91" s="33"/>
      <c r="AU91" s="33">
        <v>63</v>
      </c>
      <c r="AV91" s="33">
        <v>9</v>
      </c>
    </row>
    <row r="92" spans="43:48" ht="15.75">
      <c r="AQ92" s="127" t="s">
        <v>409</v>
      </c>
      <c r="AR92" s="127" t="s">
        <v>507</v>
      </c>
      <c r="AS92" s="85" t="s">
        <v>416</v>
      </c>
      <c r="AT92" s="33">
        <v>0.39</v>
      </c>
      <c r="AU92" s="33">
        <v>63</v>
      </c>
      <c r="AV92" s="33">
        <v>3.5</v>
      </c>
    </row>
    <row r="93" spans="43:48" ht="15.75">
      <c r="AQ93" s="127" t="s">
        <v>409</v>
      </c>
      <c r="AR93" s="127" t="s">
        <v>507</v>
      </c>
      <c r="AS93" s="87" t="s">
        <v>410</v>
      </c>
      <c r="AT93" s="33"/>
      <c r="AU93" s="33">
        <v>63</v>
      </c>
      <c r="AV93" s="33">
        <v>33</v>
      </c>
    </row>
  </sheetData>
  <autoFilter ref="AQ13:AR93"/>
  <mergeCells count="115">
    <mergeCell ref="AB11:AM11"/>
    <mergeCell ref="A5:B5"/>
    <mergeCell ref="N5:O5"/>
    <mergeCell ref="AB5:AC5"/>
    <mergeCell ref="A6:B6"/>
    <mergeCell ref="N6:O6"/>
    <mergeCell ref="AB6:AC6"/>
    <mergeCell ref="A7:B7"/>
    <mergeCell ref="N7:O7"/>
    <mergeCell ref="AB7:AC7"/>
    <mergeCell ref="AB45:AC45"/>
    <mergeCell ref="AD45:AG45"/>
    <mergeCell ref="AH45:AJ45"/>
    <mergeCell ref="AK45:AM45"/>
    <mergeCell ref="AB46:AC46"/>
    <mergeCell ref="AD46:AG46"/>
    <mergeCell ref="AH46:AJ46"/>
    <mergeCell ref="AK46:AM46"/>
    <mergeCell ref="S13:S14"/>
    <mergeCell ref="T13:T14"/>
    <mergeCell ref="X13:X14"/>
    <mergeCell ref="Y13:Y14"/>
    <mergeCell ref="AM13:AM14"/>
    <mergeCell ref="AB47:AC47"/>
    <mergeCell ref="AD47:AG47"/>
    <mergeCell ref="AH47:AJ47"/>
    <mergeCell ref="AK47:AM47"/>
    <mergeCell ref="AB48:AC48"/>
    <mergeCell ref="AD48:AG48"/>
    <mergeCell ref="AH48:AJ48"/>
    <mergeCell ref="AK48:AM48"/>
    <mergeCell ref="AB49:AC49"/>
    <mergeCell ref="AD49:AG49"/>
    <mergeCell ref="AH49:AJ49"/>
    <mergeCell ref="AK49:AM49"/>
    <mergeCell ref="A52:B52"/>
    <mergeCell ref="C52:F52"/>
    <mergeCell ref="G52:I52"/>
    <mergeCell ref="J52:L52"/>
    <mergeCell ref="A53:B53"/>
    <mergeCell ref="C53:F53"/>
    <mergeCell ref="G53:I53"/>
    <mergeCell ref="J53:L53"/>
    <mergeCell ref="A54:B54"/>
    <mergeCell ref="C54:F54"/>
    <mergeCell ref="G54:I54"/>
    <mergeCell ref="J54:L54"/>
    <mergeCell ref="A55:B55"/>
    <mergeCell ref="C55:F55"/>
    <mergeCell ref="G55:I55"/>
    <mergeCell ref="J55:L55"/>
    <mergeCell ref="A56:B56"/>
    <mergeCell ref="C56:F56"/>
    <mergeCell ref="G56:I56"/>
    <mergeCell ref="J56:L56"/>
    <mergeCell ref="N71:O71"/>
    <mergeCell ref="P71:S71"/>
    <mergeCell ref="T71:V71"/>
    <mergeCell ref="W71:Y71"/>
    <mergeCell ref="N72:O72"/>
    <mergeCell ref="P72:S72"/>
    <mergeCell ref="T72:V72"/>
    <mergeCell ref="W72:Y72"/>
    <mergeCell ref="N73:O73"/>
    <mergeCell ref="P73:S73"/>
    <mergeCell ref="T73:V73"/>
    <mergeCell ref="W73:Y73"/>
    <mergeCell ref="N74:O74"/>
    <mergeCell ref="P74:S74"/>
    <mergeCell ref="T74:V74"/>
    <mergeCell ref="W74:Y74"/>
    <mergeCell ref="N75:O75"/>
    <mergeCell ref="P75:S75"/>
    <mergeCell ref="T75:V75"/>
    <mergeCell ref="W75:Y75"/>
    <mergeCell ref="A1:A4"/>
    <mergeCell ref="A13:A14"/>
    <mergeCell ref="B13:B14"/>
    <mergeCell ref="C13:C14"/>
    <mergeCell ref="D13:D14"/>
    <mergeCell ref="E13:E14"/>
    <mergeCell ref="F13:F14"/>
    <mergeCell ref="G13:G14"/>
    <mergeCell ref="K13:K14"/>
    <mergeCell ref="L13:L14"/>
    <mergeCell ref="N1:N4"/>
    <mergeCell ref="N13:N14"/>
    <mergeCell ref="O13:O14"/>
    <mergeCell ref="P13:P14"/>
    <mergeCell ref="Q13:Q14"/>
    <mergeCell ref="R13:R14"/>
    <mergeCell ref="B1:H4"/>
    <mergeCell ref="O1:U4"/>
    <mergeCell ref="AC1:AI4"/>
    <mergeCell ref="AJ1:AM4"/>
    <mergeCell ref="AB1:AB4"/>
    <mergeCell ref="AB13:AB14"/>
    <mergeCell ref="AC13:AC14"/>
    <mergeCell ref="AD13:AD14"/>
    <mergeCell ref="AE13:AE14"/>
    <mergeCell ref="AF13:AF14"/>
    <mergeCell ref="AG13:AG14"/>
    <mergeCell ref="AH13:AH14"/>
    <mergeCell ref="AL13:AL14"/>
    <mergeCell ref="H13:J13"/>
    <mergeCell ref="U13:W13"/>
    <mergeCell ref="AI13:AK13"/>
    <mergeCell ref="A8:B8"/>
    <mergeCell ref="N8:O8"/>
    <mergeCell ref="AB8:AC8"/>
    <mergeCell ref="A9:L9"/>
    <mergeCell ref="N9:Y9"/>
    <mergeCell ref="AB9:AM9"/>
    <mergeCell ref="A11:L11"/>
    <mergeCell ref="N11:Y11"/>
  </mergeCells>
  <pageMargins left="0.7" right="0.7" top="0.75" bottom="0.75" header="0.3" footer="0.3"/>
  <pageSetup scale="62" orientation="portrait"/>
  <colBreaks count="1" manualBreakCount="1">
    <brk id="12" max="55" man="1"/>
  </colBreak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N59"/>
  <sheetViews>
    <sheetView workbookViewId="0">
      <selection activeCell="G15" sqref="G15:K15"/>
    </sheetView>
  </sheetViews>
  <sheetFormatPr defaultColWidth="9" defaultRowHeight="15"/>
  <cols>
    <col min="1" max="1" width="13.7109375" customWidth="1"/>
    <col min="2" max="2" width="15.42578125" customWidth="1"/>
    <col min="3" max="3" width="11" customWidth="1"/>
    <col min="4" max="4" width="10.85546875" customWidth="1"/>
    <col min="5" max="5" width="10.28515625" customWidth="1"/>
    <col min="7" max="7" width="15" customWidth="1"/>
    <col min="8" max="8" width="16.28515625" customWidth="1"/>
    <col min="15" max="15" width="10.42578125" customWidth="1"/>
    <col min="16" max="16" width="11.5703125" customWidth="1"/>
    <col min="21" max="21" width="35.140625" customWidth="1"/>
    <col min="22" max="22" width="10.42578125" customWidth="1"/>
    <col min="29" max="29" width="11.42578125" customWidth="1"/>
    <col min="35" max="35" width="17.42578125" customWidth="1"/>
    <col min="36" max="36" width="20.140625" customWidth="1"/>
  </cols>
  <sheetData>
    <row r="1" spans="1:40" ht="23.25">
      <c r="A1" s="206"/>
      <c r="B1" s="211" t="s">
        <v>44</v>
      </c>
      <c r="C1" s="212"/>
      <c r="D1" s="212"/>
      <c r="E1" s="212"/>
      <c r="F1" s="212"/>
      <c r="G1" s="212"/>
      <c r="H1" s="213"/>
      <c r="I1" s="2"/>
      <c r="J1" s="20"/>
      <c r="K1" s="20"/>
      <c r="L1" s="21"/>
      <c r="O1" s="206"/>
      <c r="P1" s="211" t="s">
        <v>44</v>
      </c>
      <c r="Q1" s="212"/>
      <c r="R1" s="212"/>
      <c r="S1" s="212"/>
      <c r="T1" s="212"/>
      <c r="U1" s="212"/>
      <c r="V1" s="213"/>
      <c r="W1" s="2"/>
      <c r="X1" s="20"/>
      <c r="Y1" s="20"/>
      <c r="Z1" s="21"/>
      <c r="AC1" s="1"/>
      <c r="AD1" s="211" t="s">
        <v>44</v>
      </c>
      <c r="AE1" s="212"/>
      <c r="AF1" s="212"/>
      <c r="AG1" s="212"/>
      <c r="AH1" s="212"/>
      <c r="AI1" s="212"/>
      <c r="AJ1" s="69"/>
      <c r="AK1" s="2"/>
      <c r="AL1" s="20"/>
      <c r="AM1" s="20"/>
      <c r="AN1" s="21"/>
    </row>
    <row r="2" spans="1:40" ht="23.25">
      <c r="A2" s="207"/>
      <c r="B2" s="214"/>
      <c r="C2" s="215"/>
      <c r="D2" s="215"/>
      <c r="E2" s="215"/>
      <c r="F2" s="215"/>
      <c r="G2" s="215"/>
      <c r="H2" s="216"/>
      <c r="I2" s="4"/>
      <c r="L2" s="22"/>
      <c r="O2" s="207"/>
      <c r="P2" s="214"/>
      <c r="Q2" s="215"/>
      <c r="R2" s="215"/>
      <c r="S2" s="215"/>
      <c r="T2" s="215"/>
      <c r="U2" s="215"/>
      <c r="V2" s="216"/>
      <c r="W2" s="4"/>
      <c r="Z2" s="22"/>
      <c r="AC2" s="3"/>
      <c r="AD2" s="214"/>
      <c r="AE2" s="215"/>
      <c r="AF2" s="215"/>
      <c r="AG2" s="215"/>
      <c r="AH2" s="215"/>
      <c r="AI2" s="215"/>
      <c r="AJ2" s="70"/>
      <c r="AK2" s="4"/>
      <c r="AN2" s="22"/>
    </row>
    <row r="3" spans="1:40" ht="23.25">
      <c r="A3" s="207"/>
      <c r="B3" s="214"/>
      <c r="C3" s="215"/>
      <c r="D3" s="215"/>
      <c r="E3" s="215"/>
      <c r="F3" s="215"/>
      <c r="G3" s="215"/>
      <c r="H3" s="216"/>
      <c r="I3" s="4"/>
      <c r="L3" s="22"/>
      <c r="O3" s="207"/>
      <c r="P3" s="214"/>
      <c r="Q3" s="215"/>
      <c r="R3" s="215"/>
      <c r="S3" s="215"/>
      <c r="T3" s="215"/>
      <c r="U3" s="215"/>
      <c r="V3" s="216"/>
      <c r="W3" s="4"/>
      <c r="Z3" s="22"/>
      <c r="AC3" s="3"/>
      <c r="AD3" s="214"/>
      <c r="AE3" s="215"/>
      <c r="AF3" s="215"/>
      <c r="AG3" s="215"/>
      <c r="AH3" s="215"/>
      <c r="AI3" s="215"/>
      <c r="AJ3" s="70"/>
      <c r="AK3" s="4"/>
      <c r="AN3" s="22"/>
    </row>
    <row r="4" spans="1:40" ht="23.25">
      <c r="A4" s="207"/>
      <c r="B4" s="214"/>
      <c r="C4" s="215"/>
      <c r="D4" s="215"/>
      <c r="E4" s="215"/>
      <c r="F4" s="215"/>
      <c r="G4" s="215"/>
      <c r="H4" s="216"/>
      <c r="I4" s="4"/>
      <c r="L4" s="22"/>
      <c r="O4" s="207"/>
      <c r="P4" s="214"/>
      <c r="Q4" s="215"/>
      <c r="R4" s="215"/>
      <c r="S4" s="215"/>
      <c r="T4" s="215"/>
      <c r="U4" s="215"/>
      <c r="V4" s="216"/>
      <c r="W4" s="4"/>
      <c r="Z4" s="22"/>
      <c r="AC4" s="3"/>
      <c r="AD4" s="289"/>
      <c r="AE4" s="290"/>
      <c r="AF4" s="290"/>
      <c r="AG4" s="290"/>
      <c r="AH4" s="290"/>
      <c r="AI4" s="290"/>
      <c r="AJ4" s="70"/>
      <c r="AK4" s="4"/>
      <c r="AN4" s="22"/>
    </row>
    <row r="5" spans="1:40" ht="27">
      <c r="A5" s="223" t="s">
        <v>45</v>
      </c>
      <c r="B5" s="224"/>
      <c r="C5" s="7" t="s">
        <v>46</v>
      </c>
      <c r="D5" s="8"/>
      <c r="E5" s="8"/>
      <c r="F5" s="8"/>
      <c r="G5" s="8"/>
      <c r="H5" s="8"/>
      <c r="I5" s="8"/>
      <c r="J5" s="8"/>
      <c r="K5" s="8"/>
      <c r="L5" s="23"/>
      <c r="O5" s="223" t="s">
        <v>45</v>
      </c>
      <c r="P5" s="224"/>
      <c r="Q5" s="7" t="s">
        <v>46</v>
      </c>
      <c r="R5" s="8"/>
      <c r="S5" s="8"/>
      <c r="T5" s="8"/>
      <c r="U5" s="8"/>
      <c r="V5" s="8"/>
      <c r="W5" s="8"/>
      <c r="X5" s="8"/>
      <c r="Y5" s="8"/>
      <c r="Z5" s="23"/>
      <c r="AC5" s="5" t="s">
        <v>45</v>
      </c>
      <c r="AD5" s="6"/>
      <c r="AE5" s="7" t="s">
        <v>46</v>
      </c>
      <c r="AF5" s="8"/>
      <c r="AG5" s="8"/>
      <c r="AH5" s="8"/>
      <c r="AI5" s="8"/>
      <c r="AJ5" s="8"/>
      <c r="AK5" s="8"/>
      <c r="AL5" s="8"/>
      <c r="AM5" s="8"/>
      <c r="AN5" s="23"/>
    </row>
    <row r="6" spans="1:40" ht="27">
      <c r="A6" s="223" t="s">
        <v>48</v>
      </c>
      <c r="B6" s="224"/>
      <c r="C6" s="7" t="s">
        <v>49</v>
      </c>
      <c r="D6" s="8"/>
      <c r="E6" s="8"/>
      <c r="F6" s="8"/>
      <c r="G6" s="8"/>
      <c r="H6" s="8"/>
      <c r="I6" s="8"/>
      <c r="J6" s="8"/>
      <c r="K6" s="8"/>
      <c r="L6" s="23"/>
      <c r="O6" s="223" t="s">
        <v>48</v>
      </c>
      <c r="P6" s="224"/>
      <c r="Q6" s="7" t="s">
        <v>49</v>
      </c>
      <c r="R6" s="8"/>
      <c r="S6" s="8"/>
      <c r="T6" s="8"/>
      <c r="U6" s="8"/>
      <c r="V6" s="8"/>
      <c r="W6" s="8"/>
      <c r="X6" s="8"/>
      <c r="Y6" s="8"/>
      <c r="Z6" s="23"/>
      <c r="AC6" s="5" t="s">
        <v>48</v>
      </c>
      <c r="AD6" s="6"/>
      <c r="AE6" s="7" t="s">
        <v>49</v>
      </c>
      <c r="AF6" s="8"/>
      <c r="AG6" s="8"/>
      <c r="AH6" s="8"/>
      <c r="AI6" s="8"/>
      <c r="AJ6" s="8"/>
      <c r="AK6" s="8"/>
      <c r="AL6" s="8"/>
      <c r="AM6" s="8"/>
      <c r="AN6" s="23"/>
    </row>
    <row r="7" spans="1:40" ht="16.5">
      <c r="A7" s="225" t="s">
        <v>50</v>
      </c>
      <c r="B7" s="226"/>
      <c r="C7" s="7" t="s">
        <v>51</v>
      </c>
      <c r="D7" s="8"/>
      <c r="E7" s="8"/>
      <c r="F7" s="8"/>
      <c r="G7" s="8"/>
      <c r="H7" s="8"/>
      <c r="I7" s="8"/>
      <c r="J7" s="8"/>
      <c r="K7" s="8"/>
      <c r="L7" s="23"/>
      <c r="O7" s="225" t="s">
        <v>50</v>
      </c>
      <c r="P7" s="226"/>
      <c r="Q7" s="7" t="s">
        <v>51</v>
      </c>
      <c r="R7" s="8"/>
      <c r="S7" s="8"/>
      <c r="T7" s="8"/>
      <c r="U7" s="8"/>
      <c r="V7" s="8"/>
      <c r="W7" s="8"/>
      <c r="X7" s="8"/>
      <c r="Y7" s="8"/>
      <c r="Z7" s="23"/>
      <c r="AC7" s="9" t="s">
        <v>50</v>
      </c>
      <c r="AD7" s="10"/>
      <c r="AE7" s="7" t="s">
        <v>51</v>
      </c>
      <c r="AF7" s="8"/>
      <c r="AG7" s="8"/>
      <c r="AH7" s="8"/>
      <c r="AI7" s="8"/>
      <c r="AJ7" s="8"/>
      <c r="AK7" s="8"/>
      <c r="AL7" s="8"/>
      <c r="AM7" s="8"/>
      <c r="AN7" s="23"/>
    </row>
    <row r="8" spans="1:40" ht="27">
      <c r="A8" s="223" t="s">
        <v>52</v>
      </c>
      <c r="B8" s="224"/>
      <c r="C8" s="7" t="s">
        <v>53</v>
      </c>
      <c r="D8" s="8"/>
      <c r="E8" s="8"/>
      <c r="F8" s="8"/>
      <c r="G8" s="8"/>
      <c r="H8" s="8"/>
      <c r="I8" s="8"/>
      <c r="J8" s="8"/>
      <c r="K8" s="8"/>
      <c r="L8" s="23"/>
      <c r="O8" s="223" t="s">
        <v>52</v>
      </c>
      <c r="P8" s="224"/>
      <c r="Q8" s="7" t="s">
        <v>53</v>
      </c>
      <c r="R8" s="8"/>
      <c r="S8" s="8"/>
      <c r="T8" s="8"/>
      <c r="U8" s="8"/>
      <c r="V8" s="8"/>
      <c r="W8" s="8"/>
      <c r="X8" s="8"/>
      <c r="Y8" s="8"/>
      <c r="Z8" s="23"/>
      <c r="AC8" s="5" t="s">
        <v>52</v>
      </c>
      <c r="AD8" s="6"/>
      <c r="AE8" s="7" t="s">
        <v>53</v>
      </c>
      <c r="AF8" s="8"/>
      <c r="AG8" s="8"/>
      <c r="AH8" s="8"/>
      <c r="AI8" s="8"/>
      <c r="AJ8" s="8"/>
      <c r="AK8" s="8"/>
      <c r="AL8" s="8"/>
      <c r="AM8" s="8"/>
      <c r="AN8" s="23"/>
    </row>
    <row r="9" spans="1:40" ht="15.75">
      <c r="A9" s="227" t="s">
        <v>508</v>
      </c>
      <c r="B9" s="228"/>
      <c r="C9" s="228"/>
      <c r="D9" s="228"/>
      <c r="E9" s="228"/>
      <c r="F9" s="228"/>
      <c r="G9" s="228"/>
      <c r="H9" s="228"/>
      <c r="I9" s="228"/>
      <c r="J9" s="228"/>
      <c r="K9" s="228"/>
      <c r="L9" s="229"/>
      <c r="O9" s="227" t="s">
        <v>508</v>
      </c>
      <c r="P9" s="228"/>
      <c r="Q9" s="228"/>
      <c r="R9" s="228"/>
      <c r="S9" s="228"/>
      <c r="T9" s="228"/>
      <c r="U9" s="228"/>
      <c r="V9" s="228"/>
      <c r="W9" s="228"/>
      <c r="X9" s="228"/>
      <c r="Y9" s="228"/>
      <c r="Z9" s="229"/>
      <c r="AC9" s="61"/>
      <c r="AD9" s="61"/>
      <c r="AE9" s="61"/>
      <c r="AF9" s="115"/>
      <c r="AG9" s="61"/>
      <c r="AH9" s="61"/>
      <c r="AI9" s="115" t="s">
        <v>508</v>
      </c>
      <c r="AJ9" s="115"/>
      <c r="AK9" s="115"/>
      <c r="AL9" s="115"/>
      <c r="AM9" s="115"/>
      <c r="AN9" s="115"/>
    </row>
    <row r="10" spans="1:40" ht="15.75">
      <c r="A10" s="11" t="s">
        <v>55</v>
      </c>
      <c r="B10" s="71">
        <v>45066</v>
      </c>
      <c r="C10" s="12"/>
      <c r="D10" s="12"/>
      <c r="E10" s="12"/>
      <c r="F10" s="12"/>
      <c r="G10" s="24" t="s">
        <v>56</v>
      </c>
      <c r="H10" s="113">
        <v>45066</v>
      </c>
      <c r="I10" s="12"/>
      <c r="J10" s="12"/>
      <c r="K10" s="12"/>
      <c r="L10" s="26"/>
      <c r="O10" s="11" t="s">
        <v>55</v>
      </c>
      <c r="P10" s="71">
        <v>45071</v>
      </c>
      <c r="Q10" s="12"/>
      <c r="R10" s="12"/>
      <c r="S10" s="12"/>
      <c r="T10" s="12"/>
      <c r="U10" s="24" t="s">
        <v>56</v>
      </c>
      <c r="V10" s="113">
        <v>45071</v>
      </c>
      <c r="W10" s="12"/>
      <c r="X10" s="12"/>
      <c r="Y10" s="12"/>
      <c r="Z10" s="26"/>
      <c r="AC10" s="73" t="s">
        <v>55</v>
      </c>
      <c r="AD10" s="116"/>
      <c r="AE10" s="116"/>
      <c r="AF10" s="116"/>
      <c r="AG10" s="116"/>
      <c r="AH10" s="116"/>
      <c r="AI10" s="119" t="s">
        <v>56</v>
      </c>
      <c r="AJ10" s="119"/>
      <c r="AK10" s="116"/>
      <c r="AL10" s="116"/>
      <c r="AM10" s="116"/>
      <c r="AN10" s="116"/>
    </row>
    <row r="11" spans="1:40">
      <c r="A11" s="217"/>
      <c r="B11" s="218"/>
      <c r="C11" s="218"/>
      <c r="D11" s="218"/>
      <c r="E11" s="218"/>
      <c r="F11" s="218"/>
      <c r="G11" s="218"/>
      <c r="H11" s="218"/>
      <c r="I11" s="218"/>
      <c r="J11" s="218"/>
      <c r="K11" s="218"/>
      <c r="L11" s="219"/>
      <c r="O11" s="217"/>
      <c r="P11" s="218"/>
      <c r="Q11" s="218"/>
      <c r="R11" s="218"/>
      <c r="S11" s="218"/>
      <c r="T11" s="218"/>
      <c r="U11" s="218"/>
      <c r="V11" s="218"/>
      <c r="W11" s="218"/>
      <c r="X11" s="218"/>
      <c r="Y11" s="218"/>
      <c r="Z11" s="219"/>
      <c r="AC11" s="13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27"/>
    </row>
    <row r="12" spans="1:40">
      <c r="A12" s="11" t="s">
        <v>103</v>
      </c>
      <c r="B12" s="114"/>
      <c r="C12" s="73"/>
      <c r="D12" s="24"/>
      <c r="E12" s="74"/>
      <c r="F12" s="25"/>
      <c r="G12" s="24" t="s">
        <v>406</v>
      </c>
      <c r="H12" s="114"/>
      <c r="I12" s="74"/>
      <c r="J12" s="74"/>
      <c r="K12" s="74"/>
      <c r="L12" s="80"/>
      <c r="O12" s="11" t="s">
        <v>103</v>
      </c>
      <c r="P12" s="114"/>
      <c r="Q12" s="73"/>
      <c r="R12" s="24"/>
      <c r="S12" s="74"/>
      <c r="T12" s="25"/>
      <c r="U12" s="24" t="s">
        <v>406</v>
      </c>
      <c r="V12" s="114"/>
      <c r="W12" s="74"/>
      <c r="X12" s="74"/>
      <c r="Y12" s="74"/>
      <c r="Z12" s="80"/>
      <c r="AC12" s="11" t="s">
        <v>103</v>
      </c>
      <c r="AD12" s="114"/>
      <c r="AE12" s="73"/>
      <c r="AF12" s="24"/>
      <c r="AG12" s="74"/>
      <c r="AH12" s="25"/>
      <c r="AI12" s="24" t="s">
        <v>406</v>
      </c>
      <c r="AJ12" s="114"/>
      <c r="AK12" s="74"/>
      <c r="AL12" s="74"/>
      <c r="AM12" s="74"/>
      <c r="AN12" s="80"/>
    </row>
    <row r="13" spans="1:40" ht="45">
      <c r="A13" s="208" t="s">
        <v>59</v>
      </c>
      <c r="B13" s="209" t="s">
        <v>60</v>
      </c>
      <c r="C13" s="210" t="s">
        <v>61</v>
      </c>
      <c r="D13" s="210" t="s">
        <v>62</v>
      </c>
      <c r="E13" s="210" t="s">
        <v>63</v>
      </c>
      <c r="F13" s="210" t="s">
        <v>64</v>
      </c>
      <c r="G13" s="292" t="s">
        <v>65</v>
      </c>
      <c r="H13" s="220" t="s">
        <v>66</v>
      </c>
      <c r="I13" s="221"/>
      <c r="J13" s="222"/>
      <c r="K13" s="209" t="s">
        <v>30</v>
      </c>
      <c r="L13" s="244" t="s">
        <v>67</v>
      </c>
      <c r="O13" s="208" t="s">
        <v>59</v>
      </c>
      <c r="P13" s="209" t="s">
        <v>60</v>
      </c>
      <c r="Q13" s="210" t="s">
        <v>61</v>
      </c>
      <c r="R13" s="210" t="s">
        <v>62</v>
      </c>
      <c r="S13" s="210" t="s">
        <v>63</v>
      </c>
      <c r="T13" s="210" t="s">
        <v>64</v>
      </c>
      <c r="U13" s="292" t="s">
        <v>65</v>
      </c>
      <c r="V13" s="220" t="s">
        <v>66</v>
      </c>
      <c r="W13" s="221"/>
      <c r="X13" s="222"/>
      <c r="Y13" s="209" t="s">
        <v>30</v>
      </c>
      <c r="Z13" s="244" t="s">
        <v>67</v>
      </c>
      <c r="AC13" s="15" t="s">
        <v>59</v>
      </c>
      <c r="AD13" s="16" t="s">
        <v>60</v>
      </c>
      <c r="AE13" s="83" t="s">
        <v>61</v>
      </c>
      <c r="AF13" s="83" t="s">
        <v>62</v>
      </c>
      <c r="AG13" s="83" t="s">
        <v>63</v>
      </c>
      <c r="AH13" s="83" t="s">
        <v>64</v>
      </c>
      <c r="AI13" s="17" t="s">
        <v>65</v>
      </c>
      <c r="AJ13" s="84" t="s">
        <v>66</v>
      </c>
      <c r="AK13" s="97"/>
      <c r="AL13" s="89"/>
      <c r="AM13" s="16" t="s">
        <v>30</v>
      </c>
      <c r="AN13" s="98" t="s">
        <v>67</v>
      </c>
    </row>
    <row r="14" spans="1:40" ht="60">
      <c r="A14" s="208"/>
      <c r="B14" s="209"/>
      <c r="C14" s="210"/>
      <c r="D14" s="210"/>
      <c r="E14" s="210"/>
      <c r="F14" s="210"/>
      <c r="G14" s="293"/>
      <c r="H14" s="16" t="s">
        <v>68</v>
      </c>
      <c r="I14" s="62" t="s">
        <v>69</v>
      </c>
      <c r="J14" s="16" t="s">
        <v>70</v>
      </c>
      <c r="K14" s="209"/>
      <c r="L14" s="244"/>
      <c r="O14" s="208"/>
      <c r="P14" s="209"/>
      <c r="Q14" s="210"/>
      <c r="R14" s="210"/>
      <c r="S14" s="210"/>
      <c r="T14" s="210"/>
      <c r="U14" s="293"/>
      <c r="V14" s="16" t="s">
        <v>68</v>
      </c>
      <c r="W14" s="62" t="s">
        <v>69</v>
      </c>
      <c r="X14" s="16" t="s">
        <v>70</v>
      </c>
      <c r="Y14" s="209"/>
      <c r="Z14" s="244"/>
      <c r="AC14" s="15"/>
      <c r="AD14" s="16"/>
      <c r="AE14" s="83"/>
      <c r="AF14" s="83"/>
      <c r="AG14" s="83"/>
      <c r="AH14" s="83"/>
      <c r="AI14" s="112"/>
      <c r="AJ14" s="16" t="s">
        <v>68</v>
      </c>
      <c r="AK14" s="62" t="s">
        <v>69</v>
      </c>
      <c r="AL14" s="16" t="s">
        <v>70</v>
      </c>
      <c r="AM14" s="16"/>
      <c r="AN14" s="98"/>
    </row>
    <row r="15" spans="1:40">
      <c r="A15" s="29">
        <v>1</v>
      </c>
      <c r="B15" s="29" t="s">
        <v>71</v>
      </c>
      <c r="C15" s="29">
        <v>81.099999999999994</v>
      </c>
      <c r="D15" s="29" t="s">
        <v>134</v>
      </c>
      <c r="E15" s="29" t="s">
        <v>236</v>
      </c>
      <c r="F15" s="29">
        <v>71.099999999999994</v>
      </c>
      <c r="G15" s="29" t="s">
        <v>106</v>
      </c>
      <c r="H15" s="29">
        <v>3</v>
      </c>
      <c r="I15" s="29">
        <v>1</v>
      </c>
      <c r="J15" s="29">
        <v>4</v>
      </c>
      <c r="K15" s="29" t="s">
        <v>114</v>
      </c>
      <c r="L15" s="61"/>
      <c r="O15" s="29">
        <f t="shared" ref="O15:O35" si="0">1+O14</f>
        <v>1</v>
      </c>
      <c r="P15" s="29" t="s">
        <v>71</v>
      </c>
      <c r="Q15" s="29">
        <v>126.3</v>
      </c>
      <c r="R15" s="29" t="s">
        <v>122</v>
      </c>
      <c r="S15" s="29" t="s">
        <v>509</v>
      </c>
      <c r="T15" s="29">
        <v>117.8</v>
      </c>
      <c r="U15" s="29" t="s">
        <v>106</v>
      </c>
      <c r="V15" s="29">
        <v>3</v>
      </c>
      <c r="W15" s="29">
        <v>1</v>
      </c>
      <c r="X15" s="29">
        <v>4</v>
      </c>
      <c r="Y15" s="29" t="s">
        <v>114</v>
      </c>
      <c r="Z15" s="61"/>
      <c r="AC15" s="29">
        <v>1</v>
      </c>
      <c r="AD15" s="29" t="s">
        <v>71</v>
      </c>
      <c r="AE15" s="29">
        <v>56.7</v>
      </c>
      <c r="AF15" s="29" t="s">
        <v>510</v>
      </c>
      <c r="AG15" s="29" t="s">
        <v>511</v>
      </c>
      <c r="AH15" s="29">
        <v>48</v>
      </c>
      <c r="AI15" s="29" t="s">
        <v>276</v>
      </c>
      <c r="AJ15" s="29">
        <v>3</v>
      </c>
      <c r="AK15" s="29">
        <v>1</v>
      </c>
      <c r="AL15" s="29">
        <v>4</v>
      </c>
      <c r="AM15" s="29" t="s">
        <v>114</v>
      </c>
      <c r="AN15" s="29"/>
    </row>
    <row r="16" spans="1:40">
      <c r="A16" s="29">
        <v>2</v>
      </c>
      <c r="B16" s="29" t="s">
        <v>71</v>
      </c>
      <c r="C16" s="29">
        <v>99.3</v>
      </c>
      <c r="D16" s="29" t="s">
        <v>236</v>
      </c>
      <c r="E16" s="29" t="s">
        <v>248</v>
      </c>
      <c r="F16" s="29">
        <v>382.4</v>
      </c>
      <c r="G16" s="29" t="s">
        <v>106</v>
      </c>
      <c r="H16" s="29">
        <v>3</v>
      </c>
      <c r="I16" s="29">
        <v>1</v>
      </c>
      <c r="J16" s="29">
        <v>4</v>
      </c>
      <c r="K16" s="29" t="s">
        <v>114</v>
      </c>
      <c r="L16" s="61"/>
      <c r="O16" s="29">
        <f t="shared" si="0"/>
        <v>2</v>
      </c>
      <c r="P16" s="29" t="s">
        <v>71</v>
      </c>
      <c r="Q16" s="29">
        <v>126.3</v>
      </c>
      <c r="R16" s="29" t="s">
        <v>509</v>
      </c>
      <c r="S16" s="29" t="s">
        <v>421</v>
      </c>
      <c r="T16" s="29">
        <v>26.3</v>
      </c>
      <c r="U16" s="29" t="s">
        <v>106</v>
      </c>
      <c r="V16" s="29">
        <v>3</v>
      </c>
      <c r="W16" s="29">
        <v>1</v>
      </c>
      <c r="X16" s="29">
        <v>4</v>
      </c>
      <c r="Y16" s="29" t="s">
        <v>114</v>
      </c>
      <c r="Z16" s="61"/>
      <c r="AC16" s="29">
        <f>1+AC15</f>
        <v>2</v>
      </c>
      <c r="AD16" s="29" t="s">
        <v>71</v>
      </c>
      <c r="AE16" s="29">
        <v>56.7</v>
      </c>
      <c r="AF16" s="29" t="s">
        <v>512</v>
      </c>
      <c r="AG16" s="29" t="s">
        <v>513</v>
      </c>
      <c r="AH16" s="29">
        <v>91</v>
      </c>
      <c r="AI16" s="29" t="s">
        <v>276</v>
      </c>
      <c r="AJ16" s="29">
        <v>3</v>
      </c>
      <c r="AK16" s="29">
        <v>1</v>
      </c>
      <c r="AL16" s="29">
        <v>4</v>
      </c>
      <c r="AM16" s="29" t="s">
        <v>114</v>
      </c>
      <c r="AN16" s="29"/>
    </row>
    <row r="17" spans="1:40">
      <c r="A17" s="29">
        <f>1+A16</f>
        <v>3</v>
      </c>
      <c r="B17" s="29" t="s">
        <v>71</v>
      </c>
      <c r="C17" s="29">
        <v>56.7</v>
      </c>
      <c r="D17" s="29" t="s">
        <v>134</v>
      </c>
      <c r="E17" s="29" t="s">
        <v>506</v>
      </c>
      <c r="F17" s="29">
        <v>660.2</v>
      </c>
      <c r="G17" s="29" t="s">
        <v>106</v>
      </c>
      <c r="H17" s="29">
        <v>3</v>
      </c>
      <c r="I17" s="29">
        <v>1</v>
      </c>
      <c r="J17" s="29">
        <v>4</v>
      </c>
      <c r="K17" s="29" t="s">
        <v>114</v>
      </c>
      <c r="L17" s="61"/>
      <c r="O17" s="29">
        <f t="shared" si="0"/>
        <v>3</v>
      </c>
      <c r="P17" s="29" t="s">
        <v>71</v>
      </c>
      <c r="Q17" s="29">
        <v>81.099999999999994</v>
      </c>
      <c r="R17" s="29" t="s">
        <v>421</v>
      </c>
      <c r="S17" s="29" t="s">
        <v>338</v>
      </c>
      <c r="T17" s="29">
        <v>93.2</v>
      </c>
      <c r="U17" s="29" t="s">
        <v>106</v>
      </c>
      <c r="V17" s="29">
        <v>3</v>
      </c>
      <c r="W17" s="29">
        <v>1</v>
      </c>
      <c r="X17" s="29">
        <v>4</v>
      </c>
      <c r="Y17" s="29" t="s">
        <v>114</v>
      </c>
      <c r="Z17" s="61"/>
      <c r="AC17" s="29">
        <f t="shared" ref="AC17:AC35" si="1">1+AC16</f>
        <v>3</v>
      </c>
      <c r="AD17" s="29" t="s">
        <v>71</v>
      </c>
      <c r="AE17" s="29">
        <v>144.4</v>
      </c>
      <c r="AF17" s="29" t="s">
        <v>514</v>
      </c>
      <c r="AG17" s="29" t="s">
        <v>515</v>
      </c>
      <c r="AH17" s="29">
        <v>62</v>
      </c>
      <c r="AI17" s="29" t="s">
        <v>276</v>
      </c>
      <c r="AJ17" s="29">
        <v>3</v>
      </c>
      <c r="AK17" s="29">
        <v>1</v>
      </c>
      <c r="AL17" s="29">
        <v>4</v>
      </c>
      <c r="AM17" s="29" t="s">
        <v>114</v>
      </c>
      <c r="AN17" s="29"/>
    </row>
    <row r="18" spans="1:40">
      <c r="A18" s="29">
        <f t="shared" ref="A18:A34" si="2">1+A17</f>
        <v>4</v>
      </c>
      <c r="B18" s="29" t="s">
        <v>71</v>
      </c>
      <c r="C18" s="29">
        <v>56.7</v>
      </c>
      <c r="D18" s="29" t="s">
        <v>236</v>
      </c>
      <c r="E18" s="29" t="s">
        <v>220</v>
      </c>
      <c r="F18" s="29">
        <v>201.4</v>
      </c>
      <c r="G18" s="29" t="s">
        <v>106</v>
      </c>
      <c r="H18" s="29">
        <v>3</v>
      </c>
      <c r="I18" s="29">
        <v>1</v>
      </c>
      <c r="J18" s="29">
        <v>4</v>
      </c>
      <c r="K18" s="29" t="s">
        <v>114</v>
      </c>
      <c r="L18" s="61"/>
      <c r="O18" s="29">
        <f t="shared" si="0"/>
        <v>4</v>
      </c>
      <c r="P18" s="29" t="s">
        <v>71</v>
      </c>
      <c r="Q18" s="29">
        <v>67.400000000000006</v>
      </c>
      <c r="R18" s="29" t="s">
        <v>338</v>
      </c>
      <c r="S18" s="29" t="s">
        <v>215</v>
      </c>
      <c r="T18" s="29">
        <v>105.6</v>
      </c>
      <c r="U18" s="29" t="s">
        <v>106</v>
      </c>
      <c r="V18" s="29">
        <v>3</v>
      </c>
      <c r="W18" s="29">
        <v>1</v>
      </c>
      <c r="X18" s="29">
        <v>4</v>
      </c>
      <c r="Y18" s="29" t="s">
        <v>114</v>
      </c>
      <c r="Z18" s="61"/>
      <c r="AC18" s="29">
        <f t="shared" si="1"/>
        <v>4</v>
      </c>
      <c r="AD18" s="29" t="s">
        <v>71</v>
      </c>
      <c r="AE18" s="29">
        <v>144.4</v>
      </c>
      <c r="AF18" s="29" t="s">
        <v>515</v>
      </c>
      <c r="AG18" s="29" t="s">
        <v>516</v>
      </c>
      <c r="AH18" s="29">
        <v>18</v>
      </c>
      <c r="AI18" s="29" t="s">
        <v>276</v>
      </c>
      <c r="AJ18" s="29">
        <v>3</v>
      </c>
      <c r="AK18" s="29">
        <v>1</v>
      </c>
      <c r="AL18" s="29">
        <v>4</v>
      </c>
      <c r="AM18" s="29" t="s">
        <v>114</v>
      </c>
      <c r="AN18" s="29"/>
    </row>
    <row r="19" spans="1:40" ht="15" customHeight="1">
      <c r="A19" s="29">
        <f t="shared" si="2"/>
        <v>5</v>
      </c>
      <c r="B19" s="29" t="s">
        <v>71</v>
      </c>
      <c r="C19" s="29">
        <v>99.3</v>
      </c>
      <c r="D19" s="29" t="s">
        <v>248</v>
      </c>
      <c r="E19" s="29" t="s">
        <v>226</v>
      </c>
      <c r="F19" s="29">
        <v>48</v>
      </c>
      <c r="G19" s="29" t="s">
        <v>106</v>
      </c>
      <c r="H19" s="29">
        <v>3</v>
      </c>
      <c r="I19" s="29">
        <v>1</v>
      </c>
      <c r="J19" s="29">
        <v>4</v>
      </c>
      <c r="K19" s="29" t="s">
        <v>114</v>
      </c>
      <c r="L19" s="61"/>
      <c r="O19" s="29">
        <f t="shared" si="0"/>
        <v>5</v>
      </c>
      <c r="P19" s="29" t="s">
        <v>71</v>
      </c>
      <c r="Q19" s="29">
        <v>144.4</v>
      </c>
      <c r="R19" s="29" t="s">
        <v>421</v>
      </c>
      <c r="S19" s="29" t="s">
        <v>506</v>
      </c>
      <c r="T19" s="29">
        <v>141.30000000000001</v>
      </c>
      <c r="U19" s="29" t="s">
        <v>106</v>
      </c>
      <c r="V19" s="29">
        <v>3</v>
      </c>
      <c r="W19" s="29">
        <v>1</v>
      </c>
      <c r="X19" s="29">
        <v>4</v>
      </c>
      <c r="Y19" s="29" t="s">
        <v>114</v>
      </c>
      <c r="Z19" s="61"/>
      <c r="AC19" s="29">
        <f t="shared" si="1"/>
        <v>5</v>
      </c>
      <c r="AD19" s="29" t="s">
        <v>71</v>
      </c>
      <c r="AE19" s="29">
        <v>144.4</v>
      </c>
      <c r="AF19" s="29" t="s">
        <v>516</v>
      </c>
      <c r="AG19" s="29" t="s">
        <v>517</v>
      </c>
      <c r="AH19" s="29">
        <v>202</v>
      </c>
      <c r="AI19" s="29" t="s">
        <v>276</v>
      </c>
      <c r="AJ19" s="29">
        <v>3</v>
      </c>
      <c r="AK19" s="29">
        <v>1</v>
      </c>
      <c r="AL19" s="29">
        <v>4</v>
      </c>
      <c r="AM19" s="29" t="s">
        <v>114</v>
      </c>
      <c r="AN19" s="29"/>
    </row>
    <row r="20" spans="1:40">
      <c r="A20" s="29">
        <f t="shared" si="2"/>
        <v>6</v>
      </c>
      <c r="B20" s="29" t="s">
        <v>71</v>
      </c>
      <c r="C20" s="29">
        <v>99.3</v>
      </c>
      <c r="D20" s="29" t="s">
        <v>226</v>
      </c>
      <c r="E20" s="29" t="s">
        <v>451</v>
      </c>
      <c r="F20" s="29">
        <v>467.2</v>
      </c>
      <c r="G20" s="29" t="s">
        <v>106</v>
      </c>
      <c r="H20" s="29">
        <v>3</v>
      </c>
      <c r="I20" s="29">
        <v>1</v>
      </c>
      <c r="J20" s="29">
        <v>4</v>
      </c>
      <c r="K20" s="29" t="s">
        <v>114</v>
      </c>
      <c r="L20" s="61"/>
      <c r="O20" s="29">
        <f t="shared" si="0"/>
        <v>6</v>
      </c>
      <c r="P20" s="29" t="s">
        <v>71</v>
      </c>
      <c r="Q20" s="29">
        <v>144.4</v>
      </c>
      <c r="R20" s="29" t="s">
        <v>506</v>
      </c>
      <c r="S20" s="29" t="s">
        <v>246</v>
      </c>
      <c r="T20" s="29">
        <v>322.39999999999998</v>
      </c>
      <c r="U20" s="29" t="s">
        <v>106</v>
      </c>
      <c r="V20" s="29">
        <v>3</v>
      </c>
      <c r="W20" s="29">
        <v>1</v>
      </c>
      <c r="X20" s="29">
        <v>4</v>
      </c>
      <c r="Y20" s="29" t="s">
        <v>114</v>
      </c>
      <c r="Z20" s="61"/>
      <c r="AC20" s="29">
        <f t="shared" si="1"/>
        <v>6</v>
      </c>
      <c r="AD20" s="29" t="s">
        <v>71</v>
      </c>
      <c r="AE20" s="29">
        <v>144.4</v>
      </c>
      <c r="AF20" s="29" t="s">
        <v>517</v>
      </c>
      <c r="AG20" s="29" t="s">
        <v>518</v>
      </c>
      <c r="AH20" s="29">
        <v>44</v>
      </c>
      <c r="AI20" s="29" t="s">
        <v>276</v>
      </c>
      <c r="AJ20" s="29">
        <v>3</v>
      </c>
      <c r="AK20" s="29">
        <v>1</v>
      </c>
      <c r="AL20" s="29">
        <v>4</v>
      </c>
      <c r="AM20" s="29" t="s">
        <v>114</v>
      </c>
      <c r="AN20" s="29"/>
    </row>
    <row r="21" spans="1:40">
      <c r="A21" s="29">
        <f t="shared" si="2"/>
        <v>7</v>
      </c>
      <c r="B21" s="29" t="s">
        <v>71</v>
      </c>
      <c r="C21" s="29">
        <v>67.400000000000006</v>
      </c>
      <c r="D21" s="29" t="s">
        <v>451</v>
      </c>
      <c r="E21" s="29" t="s">
        <v>381</v>
      </c>
      <c r="F21" s="29">
        <v>134</v>
      </c>
      <c r="G21" s="29" t="s">
        <v>106</v>
      </c>
      <c r="H21" s="29">
        <v>3</v>
      </c>
      <c r="I21" s="29">
        <v>1</v>
      </c>
      <c r="J21" s="29">
        <v>4</v>
      </c>
      <c r="K21" s="29" t="s">
        <v>114</v>
      </c>
      <c r="L21" s="61"/>
      <c r="O21" s="29">
        <f t="shared" si="0"/>
        <v>7</v>
      </c>
      <c r="P21" s="29" t="s">
        <v>71</v>
      </c>
      <c r="Q21" s="29">
        <v>126.3</v>
      </c>
      <c r="R21" s="29" t="s">
        <v>506</v>
      </c>
      <c r="S21" s="29" t="s">
        <v>150</v>
      </c>
      <c r="T21" s="29">
        <v>106.9</v>
      </c>
      <c r="U21" s="29" t="s">
        <v>106</v>
      </c>
      <c r="V21" s="29">
        <v>3</v>
      </c>
      <c r="W21" s="29">
        <v>1</v>
      </c>
      <c r="X21" s="29">
        <v>4</v>
      </c>
      <c r="Y21" s="29" t="s">
        <v>114</v>
      </c>
      <c r="Z21" s="61"/>
      <c r="AC21" s="29">
        <f t="shared" si="1"/>
        <v>7</v>
      </c>
      <c r="AD21" s="29" t="s">
        <v>71</v>
      </c>
      <c r="AE21" s="29">
        <v>144.4</v>
      </c>
      <c r="AF21" s="29" t="s">
        <v>518</v>
      </c>
      <c r="AG21" s="29" t="s">
        <v>512</v>
      </c>
      <c r="AH21" s="29">
        <v>38</v>
      </c>
      <c r="AI21" s="29" t="s">
        <v>276</v>
      </c>
      <c r="AJ21" s="29">
        <v>3</v>
      </c>
      <c r="AK21" s="29">
        <v>1</v>
      </c>
      <c r="AL21" s="29">
        <v>4</v>
      </c>
      <c r="AM21" s="29" t="s">
        <v>114</v>
      </c>
      <c r="AN21" s="29"/>
    </row>
    <row r="22" spans="1:40">
      <c r="A22" s="29">
        <f t="shared" si="2"/>
        <v>8</v>
      </c>
      <c r="B22" s="29" t="s">
        <v>71</v>
      </c>
      <c r="C22" s="29">
        <v>67.400000000000006</v>
      </c>
      <c r="D22" s="29" t="s">
        <v>381</v>
      </c>
      <c r="E22" s="29" t="s">
        <v>409</v>
      </c>
      <c r="F22" s="29">
        <v>270</v>
      </c>
      <c r="G22" s="29" t="s">
        <v>106</v>
      </c>
      <c r="H22" s="29">
        <v>3</v>
      </c>
      <c r="I22" s="29">
        <v>1</v>
      </c>
      <c r="J22" s="29">
        <v>4</v>
      </c>
      <c r="K22" s="29" t="s">
        <v>114</v>
      </c>
      <c r="L22" s="61"/>
      <c r="O22" s="29">
        <f t="shared" si="0"/>
        <v>8</v>
      </c>
      <c r="P22" s="29" t="s">
        <v>71</v>
      </c>
      <c r="Q22" s="29">
        <v>144.4</v>
      </c>
      <c r="R22" s="29" t="s">
        <v>148</v>
      </c>
      <c r="S22" s="29" t="s">
        <v>214</v>
      </c>
      <c r="T22" s="29">
        <v>12</v>
      </c>
      <c r="U22" s="29" t="s">
        <v>106</v>
      </c>
      <c r="V22" s="29">
        <v>3</v>
      </c>
      <c r="W22" s="29">
        <v>1</v>
      </c>
      <c r="X22" s="29">
        <v>4</v>
      </c>
      <c r="Y22" s="29" t="s">
        <v>114</v>
      </c>
      <c r="Z22" s="61"/>
      <c r="AC22" s="29">
        <f t="shared" si="1"/>
        <v>8</v>
      </c>
      <c r="AD22" s="29" t="s">
        <v>71</v>
      </c>
      <c r="AE22" s="29">
        <v>144.4</v>
      </c>
      <c r="AF22" s="29" t="s">
        <v>517</v>
      </c>
      <c r="AG22" s="29" t="s">
        <v>519</v>
      </c>
      <c r="AH22" s="29">
        <v>47</v>
      </c>
      <c r="AI22" s="29" t="s">
        <v>276</v>
      </c>
      <c r="AJ22" s="29">
        <v>3</v>
      </c>
      <c r="AK22" s="29">
        <v>1</v>
      </c>
      <c r="AL22" s="29">
        <v>4</v>
      </c>
      <c r="AM22" s="29" t="s">
        <v>114</v>
      </c>
      <c r="AN22" s="29"/>
    </row>
    <row r="23" spans="1:40">
      <c r="A23" s="29">
        <f t="shared" si="2"/>
        <v>9</v>
      </c>
      <c r="B23" s="29" t="s">
        <v>71</v>
      </c>
      <c r="C23" s="29">
        <v>56.7</v>
      </c>
      <c r="D23" s="29" t="s">
        <v>520</v>
      </c>
      <c r="E23" s="29" t="s">
        <v>402</v>
      </c>
      <c r="F23" s="29">
        <v>49</v>
      </c>
      <c r="G23" s="29" t="s">
        <v>106</v>
      </c>
      <c r="H23" s="29">
        <v>3</v>
      </c>
      <c r="I23" s="29">
        <v>1</v>
      </c>
      <c r="J23" s="29">
        <v>4</v>
      </c>
      <c r="K23" s="29" t="s">
        <v>114</v>
      </c>
      <c r="L23" s="61"/>
      <c r="O23" s="29">
        <f t="shared" si="0"/>
        <v>9</v>
      </c>
      <c r="P23" s="29" t="s">
        <v>71</v>
      </c>
      <c r="Q23" s="29">
        <v>126.3</v>
      </c>
      <c r="R23" s="29" t="s">
        <v>148</v>
      </c>
      <c r="S23" s="29" t="s">
        <v>229</v>
      </c>
      <c r="T23" s="29">
        <v>580.20000000000005</v>
      </c>
      <c r="U23" s="29" t="s">
        <v>106</v>
      </c>
      <c r="V23" s="29">
        <v>3</v>
      </c>
      <c r="W23" s="29">
        <v>1</v>
      </c>
      <c r="X23" s="29">
        <v>4</v>
      </c>
      <c r="Y23" s="29" t="s">
        <v>114</v>
      </c>
      <c r="Z23" s="61"/>
      <c r="AC23" s="29">
        <f t="shared" si="1"/>
        <v>9</v>
      </c>
      <c r="AD23" s="29" t="s">
        <v>71</v>
      </c>
      <c r="AE23" s="29">
        <v>126.3</v>
      </c>
      <c r="AF23" s="29" t="s">
        <v>519</v>
      </c>
      <c r="AG23" s="29" t="s">
        <v>521</v>
      </c>
      <c r="AH23" s="29">
        <v>180</v>
      </c>
      <c r="AI23" s="29" t="s">
        <v>276</v>
      </c>
      <c r="AJ23" s="29">
        <v>3</v>
      </c>
      <c r="AK23" s="29">
        <v>1</v>
      </c>
      <c r="AL23" s="29">
        <v>4</v>
      </c>
      <c r="AM23" s="29" t="s">
        <v>114</v>
      </c>
      <c r="AN23" s="29"/>
    </row>
    <row r="24" spans="1:40">
      <c r="A24" s="29">
        <f t="shared" si="2"/>
        <v>10</v>
      </c>
      <c r="B24" s="29" t="s">
        <v>71</v>
      </c>
      <c r="C24" s="29">
        <v>67.400000000000006</v>
      </c>
      <c r="D24" s="29" t="s">
        <v>520</v>
      </c>
      <c r="E24" s="29" t="s">
        <v>409</v>
      </c>
      <c r="F24" s="29">
        <v>123</v>
      </c>
      <c r="G24" s="29" t="s">
        <v>106</v>
      </c>
      <c r="H24" s="29">
        <v>3</v>
      </c>
      <c r="I24" s="29">
        <v>1</v>
      </c>
      <c r="J24" s="29">
        <v>4</v>
      </c>
      <c r="K24" s="29" t="s">
        <v>114</v>
      </c>
      <c r="L24" s="61"/>
      <c r="O24" s="29">
        <f t="shared" si="0"/>
        <v>10</v>
      </c>
      <c r="P24" s="29" t="s">
        <v>71</v>
      </c>
      <c r="Q24" s="29">
        <v>67.400000000000006</v>
      </c>
      <c r="R24" s="29" t="s">
        <v>229</v>
      </c>
      <c r="S24" s="29" t="s">
        <v>275</v>
      </c>
      <c r="T24" s="29">
        <v>290.7</v>
      </c>
      <c r="U24" s="29" t="s">
        <v>106</v>
      </c>
      <c r="V24" s="29">
        <v>3</v>
      </c>
      <c r="W24" s="29">
        <v>1</v>
      </c>
      <c r="X24" s="29">
        <v>4</v>
      </c>
      <c r="Y24" s="29" t="s">
        <v>114</v>
      </c>
      <c r="Z24" s="61"/>
      <c r="AC24" s="29">
        <f t="shared" si="1"/>
        <v>10</v>
      </c>
      <c r="AD24" s="29" t="s">
        <v>71</v>
      </c>
      <c r="AE24" s="29">
        <v>126.3</v>
      </c>
      <c r="AF24" s="29" t="s">
        <v>519</v>
      </c>
      <c r="AG24" s="29" t="s">
        <v>522</v>
      </c>
      <c r="AH24" s="29">
        <v>15</v>
      </c>
      <c r="AI24" s="29" t="s">
        <v>276</v>
      </c>
      <c r="AJ24" s="29">
        <v>3</v>
      </c>
      <c r="AK24" s="29">
        <v>1</v>
      </c>
      <c r="AL24" s="29">
        <v>4</v>
      </c>
      <c r="AM24" s="29" t="s">
        <v>114</v>
      </c>
      <c r="AN24" s="29"/>
    </row>
    <row r="25" spans="1:40">
      <c r="A25" s="29">
        <f t="shared" si="2"/>
        <v>11</v>
      </c>
      <c r="B25" s="29" t="s">
        <v>71</v>
      </c>
      <c r="C25" s="29">
        <v>67.400000000000006</v>
      </c>
      <c r="D25" s="29" t="s">
        <v>520</v>
      </c>
      <c r="E25" s="29" t="s">
        <v>129</v>
      </c>
      <c r="F25" s="29">
        <v>190</v>
      </c>
      <c r="G25" s="29" t="s">
        <v>106</v>
      </c>
      <c r="H25" s="29">
        <v>3</v>
      </c>
      <c r="I25" s="29">
        <v>1</v>
      </c>
      <c r="J25" s="29">
        <v>4</v>
      </c>
      <c r="K25" s="29" t="s">
        <v>114</v>
      </c>
      <c r="L25" s="61"/>
      <c r="O25" s="29">
        <f t="shared" si="0"/>
        <v>11</v>
      </c>
      <c r="P25" s="29" t="s">
        <v>71</v>
      </c>
      <c r="Q25" s="29">
        <v>56.7</v>
      </c>
      <c r="R25" s="29" t="s">
        <v>275</v>
      </c>
      <c r="S25" s="29" t="s">
        <v>523</v>
      </c>
      <c r="T25" s="29">
        <v>235.3</v>
      </c>
      <c r="U25" s="29" t="s">
        <v>106</v>
      </c>
      <c r="V25" s="29">
        <v>3</v>
      </c>
      <c r="W25" s="29">
        <v>1</v>
      </c>
      <c r="X25" s="29">
        <v>4</v>
      </c>
      <c r="Y25" s="29" t="s">
        <v>114</v>
      </c>
      <c r="Z25" s="61"/>
      <c r="AC25" s="29">
        <f t="shared" si="1"/>
        <v>11</v>
      </c>
      <c r="AD25" s="29" t="s">
        <v>71</v>
      </c>
      <c r="AE25" s="29">
        <v>99.3</v>
      </c>
      <c r="AF25" s="29" t="s">
        <v>428</v>
      </c>
      <c r="AG25" s="29" t="s">
        <v>524</v>
      </c>
      <c r="AH25" s="29">
        <v>100</v>
      </c>
      <c r="AI25" s="29" t="s">
        <v>276</v>
      </c>
      <c r="AJ25" s="29">
        <v>3</v>
      </c>
      <c r="AK25" s="29">
        <v>1</v>
      </c>
      <c r="AL25" s="29">
        <v>4</v>
      </c>
      <c r="AM25" s="29" t="s">
        <v>114</v>
      </c>
      <c r="AN25" s="29"/>
    </row>
    <row r="26" spans="1:40">
      <c r="A26" s="29">
        <f t="shared" si="2"/>
        <v>12</v>
      </c>
      <c r="B26" s="29" t="s">
        <v>71</v>
      </c>
      <c r="C26" s="29">
        <v>56.7</v>
      </c>
      <c r="D26" s="29" t="s">
        <v>129</v>
      </c>
      <c r="E26" s="29" t="s">
        <v>213</v>
      </c>
      <c r="F26" s="29">
        <v>40</v>
      </c>
      <c r="G26" s="29" t="s">
        <v>106</v>
      </c>
      <c r="H26" s="29">
        <v>3</v>
      </c>
      <c r="I26" s="29">
        <v>1</v>
      </c>
      <c r="J26" s="29">
        <v>4</v>
      </c>
      <c r="K26" s="29" t="s">
        <v>114</v>
      </c>
      <c r="L26" s="61"/>
      <c r="O26" s="29">
        <f t="shared" si="0"/>
        <v>12</v>
      </c>
      <c r="P26" s="29" t="s">
        <v>71</v>
      </c>
      <c r="Q26" s="29">
        <v>126.3</v>
      </c>
      <c r="R26" s="29" t="s">
        <v>275</v>
      </c>
      <c r="S26" s="29" t="s">
        <v>168</v>
      </c>
      <c r="T26" s="29">
        <v>582.9</v>
      </c>
      <c r="U26" s="29" t="s">
        <v>106</v>
      </c>
      <c r="V26" s="29">
        <v>3</v>
      </c>
      <c r="W26" s="29">
        <v>1</v>
      </c>
      <c r="X26" s="29">
        <v>4</v>
      </c>
      <c r="Y26" s="29" t="s">
        <v>114</v>
      </c>
      <c r="Z26" s="61"/>
      <c r="AC26" s="29">
        <f t="shared" si="1"/>
        <v>12</v>
      </c>
      <c r="AD26" s="29" t="s">
        <v>71</v>
      </c>
      <c r="AE26" s="29">
        <v>99.3</v>
      </c>
      <c r="AF26" s="29" t="s">
        <v>452</v>
      </c>
      <c r="AG26" s="29" t="s">
        <v>288</v>
      </c>
      <c r="AH26" s="29">
        <v>150</v>
      </c>
      <c r="AI26" s="29" t="s">
        <v>276</v>
      </c>
      <c r="AJ26" s="29">
        <v>3</v>
      </c>
      <c r="AK26" s="29">
        <v>1</v>
      </c>
      <c r="AL26" s="29">
        <v>4</v>
      </c>
      <c r="AM26" s="29" t="s">
        <v>114</v>
      </c>
      <c r="AN26" s="29"/>
    </row>
    <row r="27" spans="1:40">
      <c r="A27" s="29">
        <f t="shared" si="2"/>
        <v>13</v>
      </c>
      <c r="B27" s="29" t="s">
        <v>71</v>
      </c>
      <c r="C27" s="29">
        <v>67.400000000000006</v>
      </c>
      <c r="D27" s="29" t="s">
        <v>153</v>
      </c>
      <c r="E27" s="29" t="s">
        <v>417</v>
      </c>
      <c r="F27" s="29">
        <v>209</v>
      </c>
      <c r="G27" s="29" t="s">
        <v>106</v>
      </c>
      <c r="H27" s="29">
        <v>3</v>
      </c>
      <c r="I27" s="29">
        <v>1</v>
      </c>
      <c r="J27" s="29">
        <v>4</v>
      </c>
      <c r="K27" s="29" t="s">
        <v>114</v>
      </c>
      <c r="L27" s="61"/>
      <c r="O27" s="29">
        <f t="shared" si="0"/>
        <v>13</v>
      </c>
      <c r="P27" s="29" t="s">
        <v>71</v>
      </c>
      <c r="Q27" s="29">
        <v>56.7</v>
      </c>
      <c r="R27" s="29" t="s">
        <v>168</v>
      </c>
      <c r="S27" s="29" t="s">
        <v>525</v>
      </c>
      <c r="T27" s="29">
        <v>358.2</v>
      </c>
      <c r="U27" s="29" t="s">
        <v>106</v>
      </c>
      <c r="V27" s="29">
        <v>3</v>
      </c>
      <c r="W27" s="29">
        <v>1</v>
      </c>
      <c r="X27" s="29">
        <v>4</v>
      </c>
      <c r="Y27" s="29" t="s">
        <v>114</v>
      </c>
      <c r="Z27" s="61"/>
      <c r="AC27" s="29">
        <f t="shared" si="1"/>
        <v>13</v>
      </c>
      <c r="AD27" s="29" t="s">
        <v>71</v>
      </c>
      <c r="AE27" s="29">
        <v>67.400000000000006</v>
      </c>
      <c r="AF27" s="29" t="s">
        <v>526</v>
      </c>
      <c r="AG27" s="29" t="s">
        <v>293</v>
      </c>
      <c r="AH27" s="29">
        <v>15</v>
      </c>
      <c r="AI27" s="29" t="s">
        <v>276</v>
      </c>
      <c r="AJ27" s="29">
        <v>3</v>
      </c>
      <c r="AK27" s="29">
        <v>1</v>
      </c>
      <c r="AL27" s="29">
        <v>4</v>
      </c>
      <c r="AM27" s="29" t="s">
        <v>114</v>
      </c>
      <c r="AN27" s="29"/>
    </row>
    <row r="28" spans="1:40">
      <c r="A28" s="29">
        <f t="shared" si="2"/>
        <v>14</v>
      </c>
      <c r="B28" s="29" t="s">
        <v>71</v>
      </c>
      <c r="C28" s="29">
        <v>56.7</v>
      </c>
      <c r="D28" s="29" t="s">
        <v>417</v>
      </c>
      <c r="E28" s="29" t="s">
        <v>527</v>
      </c>
      <c r="F28" s="29">
        <v>61</v>
      </c>
      <c r="G28" s="29" t="s">
        <v>106</v>
      </c>
      <c r="H28" s="29">
        <v>3</v>
      </c>
      <c r="I28" s="29">
        <v>1</v>
      </c>
      <c r="J28" s="29">
        <v>4</v>
      </c>
      <c r="K28" s="29" t="s">
        <v>114</v>
      </c>
      <c r="L28" s="61"/>
      <c r="O28" s="29">
        <f t="shared" si="0"/>
        <v>14</v>
      </c>
      <c r="P28" s="29" t="s">
        <v>71</v>
      </c>
      <c r="Q28" s="29">
        <v>126.3</v>
      </c>
      <c r="R28" s="29" t="s">
        <v>168</v>
      </c>
      <c r="S28" s="29" t="s">
        <v>242</v>
      </c>
      <c r="T28" s="29">
        <f>225.6+156</f>
        <v>381.6</v>
      </c>
      <c r="U28" s="29" t="s">
        <v>106</v>
      </c>
      <c r="V28" s="29">
        <v>3</v>
      </c>
      <c r="W28" s="29">
        <v>1</v>
      </c>
      <c r="X28" s="29">
        <v>4</v>
      </c>
      <c r="Y28" s="29" t="s">
        <v>114</v>
      </c>
      <c r="Z28" s="61"/>
      <c r="AC28" s="29">
        <f t="shared" si="1"/>
        <v>14</v>
      </c>
      <c r="AD28" s="29" t="s">
        <v>71</v>
      </c>
      <c r="AE28" s="29">
        <v>99.3</v>
      </c>
      <c r="AF28" s="29" t="s">
        <v>452</v>
      </c>
      <c r="AG28" s="29" t="s">
        <v>288</v>
      </c>
      <c r="AH28" s="29">
        <v>30</v>
      </c>
      <c r="AI28" s="29" t="s">
        <v>276</v>
      </c>
      <c r="AJ28" s="29">
        <v>3</v>
      </c>
      <c r="AK28" s="29">
        <v>1</v>
      </c>
      <c r="AL28" s="29">
        <v>4</v>
      </c>
      <c r="AM28" s="29" t="s">
        <v>114</v>
      </c>
      <c r="AN28" s="29"/>
    </row>
    <row r="29" spans="1:40">
      <c r="A29" s="29">
        <f t="shared" si="2"/>
        <v>15</v>
      </c>
      <c r="B29" s="29" t="s">
        <v>71</v>
      </c>
      <c r="C29" s="29">
        <v>99.3</v>
      </c>
      <c r="D29" s="29" t="s">
        <v>417</v>
      </c>
      <c r="E29" s="29" t="s">
        <v>226</v>
      </c>
      <c r="F29" s="29">
        <v>315</v>
      </c>
      <c r="G29" s="29" t="s">
        <v>106</v>
      </c>
      <c r="H29" s="29">
        <v>3</v>
      </c>
      <c r="I29" s="29">
        <v>1</v>
      </c>
      <c r="J29" s="29">
        <v>4</v>
      </c>
      <c r="K29" s="29" t="s">
        <v>114</v>
      </c>
      <c r="L29" s="61"/>
      <c r="O29" s="29">
        <f t="shared" si="0"/>
        <v>15</v>
      </c>
      <c r="P29" s="29" t="s">
        <v>71</v>
      </c>
      <c r="Q29" s="29">
        <v>56.7</v>
      </c>
      <c r="R29" s="29" t="s">
        <v>525</v>
      </c>
      <c r="S29" s="29" t="s">
        <v>528</v>
      </c>
      <c r="T29" s="29">
        <v>221.9</v>
      </c>
      <c r="U29" s="29" t="s">
        <v>106</v>
      </c>
      <c r="V29" s="29">
        <v>3</v>
      </c>
      <c r="W29" s="29">
        <v>1</v>
      </c>
      <c r="X29" s="29">
        <v>4</v>
      </c>
      <c r="Y29" s="29" t="s">
        <v>114</v>
      </c>
      <c r="Z29" s="61"/>
      <c r="AC29" s="29">
        <f t="shared" si="1"/>
        <v>15</v>
      </c>
      <c r="AD29" s="29" t="s">
        <v>71</v>
      </c>
      <c r="AE29" s="29">
        <v>56.7</v>
      </c>
      <c r="AF29" s="29" t="s">
        <v>303</v>
      </c>
      <c r="AG29" s="29" t="s">
        <v>387</v>
      </c>
      <c r="AH29" s="29">
        <v>200</v>
      </c>
      <c r="AI29" s="29" t="s">
        <v>276</v>
      </c>
      <c r="AJ29" s="29">
        <v>3</v>
      </c>
      <c r="AK29" s="29">
        <v>1</v>
      </c>
      <c r="AL29" s="29">
        <v>4</v>
      </c>
      <c r="AM29" s="29" t="s">
        <v>114</v>
      </c>
      <c r="AN29" s="29"/>
    </row>
    <row r="30" spans="1:40">
      <c r="A30" s="29">
        <f t="shared" si="2"/>
        <v>16</v>
      </c>
      <c r="B30" s="29" t="s">
        <v>71</v>
      </c>
      <c r="C30" s="29">
        <v>81.099999999999994</v>
      </c>
      <c r="D30" s="29" t="s">
        <v>451</v>
      </c>
      <c r="E30" s="29" t="s">
        <v>377</v>
      </c>
      <c r="F30" s="29">
        <v>257.2</v>
      </c>
      <c r="G30" s="29" t="s">
        <v>106</v>
      </c>
      <c r="H30" s="29">
        <v>3</v>
      </c>
      <c r="I30" s="29">
        <v>1</v>
      </c>
      <c r="J30" s="29">
        <v>4</v>
      </c>
      <c r="K30" s="29" t="s">
        <v>114</v>
      </c>
      <c r="L30" s="61"/>
      <c r="O30" s="29">
        <f t="shared" si="0"/>
        <v>16</v>
      </c>
      <c r="P30" s="29" t="s">
        <v>71</v>
      </c>
      <c r="Q30" s="29">
        <v>67.400000000000006</v>
      </c>
      <c r="R30" s="29" t="s">
        <v>229</v>
      </c>
      <c r="S30" s="29" t="s">
        <v>205</v>
      </c>
      <c r="T30" s="29">
        <v>220.3</v>
      </c>
      <c r="U30" s="29" t="s">
        <v>106</v>
      </c>
      <c r="V30" s="29">
        <v>3</v>
      </c>
      <c r="W30" s="29">
        <v>1</v>
      </c>
      <c r="X30" s="29">
        <v>4</v>
      </c>
      <c r="Y30" s="29" t="s">
        <v>114</v>
      </c>
      <c r="Z30" s="61"/>
      <c r="AC30" s="29">
        <f t="shared" si="1"/>
        <v>16</v>
      </c>
      <c r="AD30" s="29" t="s">
        <v>71</v>
      </c>
      <c r="AE30" s="29">
        <v>56.7</v>
      </c>
      <c r="AF30" s="29" t="s">
        <v>387</v>
      </c>
      <c r="AG30" s="29" t="s">
        <v>529</v>
      </c>
      <c r="AH30" s="29">
        <v>40</v>
      </c>
      <c r="AI30" s="29" t="s">
        <v>276</v>
      </c>
      <c r="AJ30" s="29">
        <v>3</v>
      </c>
      <c r="AK30" s="29">
        <v>1</v>
      </c>
      <c r="AL30" s="29">
        <v>4</v>
      </c>
      <c r="AM30" s="29" t="s">
        <v>114</v>
      </c>
      <c r="AN30" s="29"/>
    </row>
    <row r="31" spans="1:40">
      <c r="A31" s="29">
        <f t="shared" si="2"/>
        <v>17</v>
      </c>
      <c r="B31" s="29" t="s">
        <v>71</v>
      </c>
      <c r="C31" s="29">
        <v>56.7</v>
      </c>
      <c r="D31" s="29" t="s">
        <v>375</v>
      </c>
      <c r="E31" s="29" t="s">
        <v>294</v>
      </c>
      <c r="F31" s="29">
        <v>184.3</v>
      </c>
      <c r="G31" s="29" t="s">
        <v>106</v>
      </c>
      <c r="H31" s="29">
        <v>3</v>
      </c>
      <c r="I31" s="29">
        <v>1</v>
      </c>
      <c r="J31" s="29">
        <v>4</v>
      </c>
      <c r="K31" s="29" t="s">
        <v>114</v>
      </c>
      <c r="L31" s="61"/>
      <c r="O31" s="29">
        <f t="shared" si="0"/>
        <v>17</v>
      </c>
      <c r="P31" s="29" t="s">
        <v>71</v>
      </c>
      <c r="Q31" s="29">
        <v>81.099999999999994</v>
      </c>
      <c r="R31" s="29" t="s">
        <v>205</v>
      </c>
      <c r="S31" s="29" t="s">
        <v>176</v>
      </c>
      <c r="T31" s="29">
        <v>62.1</v>
      </c>
      <c r="U31" s="29" t="s">
        <v>106</v>
      </c>
      <c r="V31" s="29">
        <v>3</v>
      </c>
      <c r="W31" s="29">
        <v>1</v>
      </c>
      <c r="X31" s="29">
        <v>4</v>
      </c>
      <c r="Y31" s="29" t="s">
        <v>114</v>
      </c>
      <c r="Z31" s="61"/>
      <c r="AC31" s="29">
        <f t="shared" si="1"/>
        <v>17</v>
      </c>
      <c r="AD31" s="29" t="s">
        <v>71</v>
      </c>
      <c r="AE31" s="29">
        <v>56.7</v>
      </c>
      <c r="AF31" s="55" t="s">
        <v>387</v>
      </c>
      <c r="AG31" s="55" t="s">
        <v>298</v>
      </c>
      <c r="AH31" s="29">
        <v>1677</v>
      </c>
      <c r="AI31" s="29" t="s">
        <v>276</v>
      </c>
      <c r="AJ31" s="29">
        <v>3</v>
      </c>
      <c r="AK31" s="29">
        <v>1</v>
      </c>
      <c r="AL31" s="29">
        <v>4</v>
      </c>
      <c r="AM31" s="29" t="s">
        <v>114</v>
      </c>
      <c r="AN31" s="29"/>
    </row>
    <row r="32" spans="1:40">
      <c r="A32" s="29">
        <f t="shared" si="2"/>
        <v>18</v>
      </c>
      <c r="B32" s="29" t="s">
        <v>71</v>
      </c>
      <c r="C32" s="29">
        <v>56.7</v>
      </c>
      <c r="D32" s="29" t="s">
        <v>375</v>
      </c>
      <c r="E32" s="29" t="s">
        <v>334</v>
      </c>
      <c r="F32" s="29">
        <v>78.5</v>
      </c>
      <c r="G32" s="29" t="s">
        <v>106</v>
      </c>
      <c r="H32" s="29">
        <v>3</v>
      </c>
      <c r="I32" s="29">
        <v>1</v>
      </c>
      <c r="J32" s="29">
        <v>4</v>
      </c>
      <c r="K32" s="29" t="s">
        <v>114</v>
      </c>
      <c r="L32" s="61"/>
      <c r="O32" s="29">
        <f t="shared" si="0"/>
        <v>18</v>
      </c>
      <c r="P32" s="29" t="s">
        <v>71</v>
      </c>
      <c r="Q32" s="29">
        <v>67.400000000000006</v>
      </c>
      <c r="R32" s="29" t="s">
        <v>205</v>
      </c>
      <c r="S32" s="29" t="s">
        <v>245</v>
      </c>
      <c r="T32" s="29">
        <v>177.9</v>
      </c>
      <c r="U32" s="29" t="s">
        <v>106</v>
      </c>
      <c r="V32" s="29">
        <v>3</v>
      </c>
      <c r="W32" s="29">
        <v>1</v>
      </c>
      <c r="X32" s="29">
        <v>4</v>
      </c>
      <c r="Y32" s="29" t="s">
        <v>114</v>
      </c>
      <c r="Z32" s="61"/>
      <c r="AC32" s="29">
        <f t="shared" si="1"/>
        <v>18</v>
      </c>
      <c r="AD32" s="29" t="s">
        <v>71</v>
      </c>
      <c r="AE32" s="29">
        <v>56.7</v>
      </c>
      <c r="AF32" s="29" t="s">
        <v>426</v>
      </c>
      <c r="AG32" s="29" t="s">
        <v>530</v>
      </c>
      <c r="AH32" s="29">
        <v>230</v>
      </c>
      <c r="AI32" s="29" t="s">
        <v>276</v>
      </c>
      <c r="AJ32" s="29">
        <v>3</v>
      </c>
      <c r="AK32" s="29">
        <v>1</v>
      </c>
      <c r="AL32" s="29">
        <v>4</v>
      </c>
      <c r="AM32" s="29" t="s">
        <v>114</v>
      </c>
      <c r="AN32" s="29"/>
    </row>
    <row r="33" spans="1:40">
      <c r="A33" s="29">
        <f t="shared" si="2"/>
        <v>19</v>
      </c>
      <c r="B33" s="29" t="s">
        <v>71</v>
      </c>
      <c r="C33" s="29">
        <v>56.7</v>
      </c>
      <c r="D33" s="29" t="s">
        <v>334</v>
      </c>
      <c r="E33" s="29" t="s">
        <v>478</v>
      </c>
      <c r="F33" s="29">
        <v>142</v>
      </c>
      <c r="G33" s="29" t="s">
        <v>106</v>
      </c>
      <c r="H33" s="29">
        <v>3</v>
      </c>
      <c r="I33" s="29">
        <v>1</v>
      </c>
      <c r="J33" s="29">
        <v>4</v>
      </c>
      <c r="K33" s="29" t="s">
        <v>114</v>
      </c>
      <c r="L33" s="61"/>
      <c r="O33" s="29">
        <f t="shared" si="0"/>
        <v>19</v>
      </c>
      <c r="P33" s="29" t="s">
        <v>71</v>
      </c>
      <c r="Q33" s="29">
        <v>67.400000000000006</v>
      </c>
      <c r="R33" s="29" t="s">
        <v>245</v>
      </c>
      <c r="S33" s="29" t="s">
        <v>176</v>
      </c>
      <c r="T33" s="29">
        <v>89.8</v>
      </c>
      <c r="U33" s="29" t="s">
        <v>106</v>
      </c>
      <c r="V33" s="29">
        <v>3</v>
      </c>
      <c r="W33" s="29">
        <v>1</v>
      </c>
      <c r="X33" s="29">
        <v>4</v>
      </c>
      <c r="Y33" s="29" t="s">
        <v>114</v>
      </c>
      <c r="Z33" s="61"/>
      <c r="AC33" s="29">
        <f t="shared" si="1"/>
        <v>19</v>
      </c>
      <c r="AD33" s="29" t="s">
        <v>71</v>
      </c>
      <c r="AE33" s="29">
        <v>126.3</v>
      </c>
      <c r="AF33" s="29" t="s">
        <v>531</v>
      </c>
      <c r="AG33" s="29" t="s">
        <v>532</v>
      </c>
      <c r="AH33" s="29">
        <v>156</v>
      </c>
      <c r="AI33" s="29" t="s">
        <v>276</v>
      </c>
      <c r="AJ33" s="29">
        <v>3</v>
      </c>
      <c r="AK33" s="29">
        <v>1</v>
      </c>
      <c r="AL33" s="29">
        <v>4</v>
      </c>
      <c r="AM33" s="29" t="s">
        <v>114</v>
      </c>
      <c r="AN33" s="29"/>
    </row>
    <row r="34" spans="1:40">
      <c r="A34" s="29">
        <f t="shared" si="2"/>
        <v>20</v>
      </c>
      <c r="B34" s="29" t="s">
        <v>71</v>
      </c>
      <c r="C34" s="29">
        <v>99.3</v>
      </c>
      <c r="D34" s="29" t="s">
        <v>248</v>
      </c>
      <c r="E34" s="29" t="s">
        <v>128</v>
      </c>
      <c r="F34" s="29">
        <v>51.3</v>
      </c>
      <c r="G34" s="29" t="s">
        <v>106</v>
      </c>
      <c r="H34" s="29">
        <v>3</v>
      </c>
      <c r="I34" s="29">
        <v>1</v>
      </c>
      <c r="J34" s="29">
        <v>4</v>
      </c>
      <c r="K34" s="29" t="s">
        <v>114</v>
      </c>
      <c r="L34" s="61"/>
      <c r="O34" s="29">
        <f t="shared" si="0"/>
        <v>20</v>
      </c>
      <c r="P34" s="29" t="s">
        <v>71</v>
      </c>
      <c r="Q34" s="29">
        <v>99.3</v>
      </c>
      <c r="R34" s="29" t="s">
        <v>176</v>
      </c>
      <c r="S34" s="29" t="s">
        <v>128</v>
      </c>
      <c r="T34" s="29">
        <v>226.2</v>
      </c>
      <c r="U34" s="29" t="s">
        <v>106</v>
      </c>
      <c r="V34" s="29">
        <v>3</v>
      </c>
      <c r="W34" s="29">
        <v>1</v>
      </c>
      <c r="X34" s="29">
        <v>4</v>
      </c>
      <c r="Y34" s="29" t="s">
        <v>114</v>
      </c>
      <c r="Z34" s="117"/>
      <c r="AC34" s="29">
        <f t="shared" si="1"/>
        <v>20</v>
      </c>
      <c r="AD34" s="29" t="s">
        <v>71</v>
      </c>
      <c r="AE34" s="29">
        <v>126.3</v>
      </c>
      <c r="AF34" s="29" t="s">
        <v>531</v>
      </c>
      <c r="AG34" s="29" t="s">
        <v>532</v>
      </c>
      <c r="AH34" s="29">
        <v>120</v>
      </c>
      <c r="AI34" s="29" t="s">
        <v>276</v>
      </c>
      <c r="AJ34" s="29">
        <v>3</v>
      </c>
      <c r="AK34" s="29">
        <v>1</v>
      </c>
      <c r="AL34" s="29">
        <v>4</v>
      </c>
      <c r="AM34" s="29" t="s">
        <v>114</v>
      </c>
      <c r="AN34" s="29"/>
    </row>
    <row r="35" spans="1:40">
      <c r="A35" s="324"/>
      <c r="B35" s="324"/>
      <c r="C35" s="325" t="s">
        <v>86</v>
      </c>
      <c r="D35" s="325"/>
      <c r="E35" s="325"/>
      <c r="F35" s="325"/>
      <c r="G35" s="325" t="s">
        <v>87</v>
      </c>
      <c r="H35" s="325"/>
      <c r="I35" s="325"/>
      <c r="J35" s="325" t="s">
        <v>39</v>
      </c>
      <c r="K35" s="325"/>
      <c r="L35" s="325"/>
      <c r="O35" s="29">
        <f t="shared" si="0"/>
        <v>21</v>
      </c>
      <c r="P35" s="29" t="s">
        <v>71</v>
      </c>
      <c r="Q35" s="55">
        <v>67.400000000000006</v>
      </c>
      <c r="R35" s="55" t="s">
        <v>533</v>
      </c>
      <c r="S35" s="55" t="s">
        <v>215</v>
      </c>
      <c r="T35" s="55">
        <v>117.7</v>
      </c>
      <c r="U35" s="29" t="s">
        <v>106</v>
      </c>
      <c r="V35" s="29">
        <v>3</v>
      </c>
      <c r="W35" s="29">
        <v>1</v>
      </c>
      <c r="X35" s="29">
        <v>4</v>
      </c>
      <c r="Y35" s="29" t="s">
        <v>114</v>
      </c>
      <c r="Z35" s="118"/>
      <c r="AC35" s="29">
        <f t="shared" si="1"/>
        <v>21</v>
      </c>
      <c r="AD35" s="29" t="s">
        <v>71</v>
      </c>
      <c r="AE35" s="29">
        <v>126.3</v>
      </c>
      <c r="AF35" s="29" t="s">
        <v>534</v>
      </c>
      <c r="AG35" s="29" t="s">
        <v>432</v>
      </c>
      <c r="AH35" s="29">
        <v>200</v>
      </c>
      <c r="AI35" s="29" t="s">
        <v>276</v>
      </c>
      <c r="AJ35" s="29">
        <v>3</v>
      </c>
      <c r="AK35" s="29">
        <v>1</v>
      </c>
      <c r="AL35" s="29">
        <v>4</v>
      </c>
      <c r="AM35" s="29" t="s">
        <v>114</v>
      </c>
      <c r="AN35" s="29"/>
    </row>
    <row r="36" spans="1:40">
      <c r="A36" s="295" t="s">
        <v>40</v>
      </c>
      <c r="B36" s="295"/>
      <c r="C36" s="317" t="s">
        <v>133</v>
      </c>
      <c r="D36" s="317"/>
      <c r="E36" s="317"/>
      <c r="F36" s="317"/>
      <c r="G36" s="317"/>
      <c r="H36" s="317"/>
      <c r="I36" s="317"/>
      <c r="J36" s="317"/>
      <c r="K36" s="317"/>
      <c r="L36" s="317"/>
      <c r="O36" s="324"/>
      <c r="P36" s="324"/>
      <c r="Q36" s="325" t="s">
        <v>86</v>
      </c>
      <c r="R36" s="325"/>
      <c r="S36" s="325"/>
      <c r="T36" s="325"/>
      <c r="U36" s="325" t="s">
        <v>87</v>
      </c>
      <c r="V36" s="325"/>
      <c r="W36" s="325"/>
      <c r="X36" s="325" t="s">
        <v>39</v>
      </c>
      <c r="Y36" s="325"/>
      <c r="Z36" s="325"/>
      <c r="AC36" s="324"/>
      <c r="AD36" s="324"/>
      <c r="AE36" s="325" t="s">
        <v>86</v>
      </c>
      <c r="AF36" s="325"/>
      <c r="AG36" s="325"/>
      <c r="AH36" s="325"/>
      <c r="AI36" s="325" t="s">
        <v>87</v>
      </c>
      <c r="AJ36" s="325"/>
      <c r="AK36" s="325"/>
      <c r="AL36" s="325" t="s">
        <v>39</v>
      </c>
      <c r="AM36" s="325"/>
      <c r="AN36" s="325"/>
    </row>
    <row r="37" spans="1:40">
      <c r="A37" s="295" t="s">
        <v>41</v>
      </c>
      <c r="B37" s="295"/>
      <c r="C37" s="317" t="s">
        <v>140</v>
      </c>
      <c r="D37" s="317"/>
      <c r="E37" s="317"/>
      <c r="F37" s="317"/>
      <c r="G37" s="317"/>
      <c r="H37" s="317"/>
      <c r="I37" s="317"/>
      <c r="J37" s="317"/>
      <c r="K37" s="317"/>
      <c r="L37" s="317"/>
      <c r="O37" s="295" t="s">
        <v>40</v>
      </c>
      <c r="P37" s="295"/>
      <c r="Q37" s="317" t="s">
        <v>133</v>
      </c>
      <c r="R37" s="317"/>
      <c r="S37" s="317"/>
      <c r="T37" s="317"/>
      <c r="U37" s="317"/>
      <c r="V37" s="317"/>
      <c r="W37" s="317"/>
      <c r="X37" s="317"/>
      <c r="Y37" s="317"/>
      <c r="Z37" s="317"/>
      <c r="AC37" s="295" t="s">
        <v>40</v>
      </c>
      <c r="AD37" s="295"/>
      <c r="AE37" s="317" t="s">
        <v>133</v>
      </c>
      <c r="AF37" s="317"/>
      <c r="AG37" s="317"/>
      <c r="AH37" s="317"/>
      <c r="AI37" s="317"/>
      <c r="AJ37" s="317"/>
      <c r="AK37" s="317"/>
      <c r="AL37" s="317"/>
      <c r="AM37" s="317"/>
      <c r="AN37" s="317"/>
    </row>
    <row r="38" spans="1:40">
      <c r="A38" s="295" t="s">
        <v>42</v>
      </c>
      <c r="B38" s="295"/>
      <c r="C38" s="317"/>
      <c r="D38" s="317"/>
      <c r="E38" s="317"/>
      <c r="F38" s="317"/>
      <c r="G38" s="317"/>
      <c r="H38" s="317"/>
      <c r="I38" s="317"/>
      <c r="J38" s="317"/>
      <c r="K38" s="317"/>
      <c r="L38" s="317"/>
      <c r="O38" s="295" t="s">
        <v>41</v>
      </c>
      <c r="P38" s="295"/>
      <c r="Q38" s="317" t="s">
        <v>140</v>
      </c>
      <c r="R38" s="317"/>
      <c r="S38" s="317"/>
      <c r="T38" s="317"/>
      <c r="U38" s="317"/>
      <c r="V38" s="317"/>
      <c r="W38" s="317"/>
      <c r="X38" s="317"/>
      <c r="Y38" s="317"/>
      <c r="Z38" s="317"/>
      <c r="AC38" s="295" t="s">
        <v>41</v>
      </c>
      <c r="AD38" s="295"/>
      <c r="AE38" s="317" t="s">
        <v>140</v>
      </c>
      <c r="AF38" s="317"/>
      <c r="AG38" s="317"/>
      <c r="AH38" s="317"/>
      <c r="AI38" s="317"/>
      <c r="AJ38" s="317"/>
      <c r="AK38" s="317"/>
      <c r="AL38" s="317"/>
      <c r="AM38" s="317"/>
      <c r="AN38" s="317"/>
    </row>
    <row r="39" spans="1:40">
      <c r="A39" s="295" t="s">
        <v>43</v>
      </c>
      <c r="B39" s="295"/>
      <c r="C39" s="315"/>
      <c r="D39" s="316"/>
      <c r="E39" s="316"/>
      <c r="F39" s="316"/>
      <c r="G39" s="317"/>
      <c r="H39" s="317"/>
      <c r="I39" s="317"/>
      <c r="J39" s="317"/>
      <c r="K39" s="317"/>
      <c r="L39" s="317"/>
      <c r="O39" s="295" t="s">
        <v>42</v>
      </c>
      <c r="P39" s="295"/>
      <c r="Q39" s="317"/>
      <c r="R39" s="317"/>
      <c r="S39" s="317"/>
      <c r="T39" s="317"/>
      <c r="U39" s="317"/>
      <c r="V39" s="317"/>
      <c r="W39" s="317"/>
      <c r="X39" s="317"/>
      <c r="Y39" s="317"/>
      <c r="Z39" s="317"/>
      <c r="AC39" s="295" t="s">
        <v>42</v>
      </c>
      <c r="AD39" s="295"/>
      <c r="AE39" s="317"/>
      <c r="AF39" s="317"/>
      <c r="AG39" s="317"/>
      <c r="AH39" s="317"/>
      <c r="AI39" s="317"/>
      <c r="AJ39" s="317"/>
      <c r="AK39" s="317"/>
      <c r="AL39" s="317"/>
      <c r="AM39" s="317"/>
      <c r="AN39" s="317"/>
    </row>
    <row r="40" spans="1:40">
      <c r="A40" s="46"/>
      <c r="B40" s="46"/>
      <c r="C40" s="46"/>
      <c r="D40" s="46"/>
      <c r="E40" s="46"/>
      <c r="F40" s="46"/>
      <c r="G40" s="46"/>
      <c r="H40" s="46"/>
      <c r="I40" s="46"/>
      <c r="J40" s="46"/>
      <c r="K40" s="46"/>
      <c r="O40" s="295" t="s">
        <v>43</v>
      </c>
      <c r="P40" s="295"/>
      <c r="Q40" s="315"/>
      <c r="R40" s="316"/>
      <c r="S40" s="316"/>
      <c r="T40" s="316"/>
      <c r="U40" s="317"/>
      <c r="V40" s="317"/>
      <c r="W40" s="317"/>
      <c r="X40" s="317"/>
      <c r="Y40" s="317"/>
      <c r="Z40" s="317"/>
      <c r="AC40" s="295" t="s">
        <v>43</v>
      </c>
      <c r="AD40" s="295"/>
      <c r="AE40" s="315"/>
      <c r="AF40" s="316"/>
      <c r="AG40" s="316"/>
      <c r="AH40" s="316"/>
      <c r="AI40" s="317"/>
      <c r="AJ40" s="317"/>
      <c r="AK40" s="317"/>
      <c r="AL40" s="317"/>
      <c r="AM40" s="317"/>
      <c r="AN40" s="317"/>
    </row>
    <row r="41" spans="1:40">
      <c r="A41" s="46"/>
      <c r="B41" s="46"/>
      <c r="C41" s="46"/>
      <c r="D41" s="46"/>
      <c r="E41" s="46"/>
      <c r="F41" s="46"/>
      <c r="G41" s="46"/>
      <c r="H41" s="46"/>
      <c r="I41" s="46"/>
      <c r="J41" s="46"/>
      <c r="K41" s="46"/>
    </row>
    <row r="42" spans="1:40">
      <c r="A42" s="46"/>
      <c r="B42" s="46"/>
      <c r="C42" s="46"/>
      <c r="D42" s="46"/>
      <c r="E42" s="46"/>
      <c r="F42" s="46"/>
      <c r="G42" s="46"/>
      <c r="H42" s="46"/>
      <c r="I42" s="46"/>
      <c r="J42" s="46"/>
      <c r="K42" s="46"/>
    </row>
    <row r="43" spans="1:40">
      <c r="A43" s="46"/>
      <c r="B43" s="46"/>
      <c r="C43" s="46"/>
      <c r="D43" s="46"/>
      <c r="E43" s="46"/>
      <c r="F43" s="46"/>
      <c r="G43" s="46"/>
      <c r="H43" s="46"/>
      <c r="I43" s="46"/>
      <c r="J43" s="46"/>
      <c r="K43" s="46"/>
    </row>
    <row r="44" spans="1:40">
      <c r="A44" s="46"/>
      <c r="B44" s="46"/>
      <c r="C44" s="46"/>
      <c r="D44" s="46"/>
      <c r="E44" s="46"/>
      <c r="F44" s="46"/>
      <c r="G44" s="46"/>
      <c r="H44" s="46"/>
      <c r="I44" s="46"/>
      <c r="J44" s="46"/>
      <c r="K44" s="46"/>
    </row>
    <row r="45" spans="1:40">
      <c r="A45" s="46"/>
      <c r="B45" s="46"/>
      <c r="C45" s="46"/>
      <c r="D45" s="46"/>
      <c r="E45" s="46"/>
      <c r="F45" s="46"/>
      <c r="G45" s="46"/>
      <c r="H45" s="46"/>
      <c r="I45" s="46"/>
      <c r="J45" s="46"/>
      <c r="K45" s="46"/>
    </row>
    <row r="46" spans="1:40">
      <c r="A46" s="46"/>
      <c r="B46" s="46"/>
      <c r="C46" s="46"/>
      <c r="D46" s="46"/>
      <c r="E46" s="46"/>
      <c r="F46" s="46"/>
      <c r="G46" s="46"/>
      <c r="H46" s="46"/>
      <c r="I46" s="46"/>
      <c r="J46" s="46"/>
      <c r="K46" s="46"/>
    </row>
    <row r="47" spans="1:40">
      <c r="A47" s="46"/>
      <c r="B47" s="46"/>
      <c r="C47" s="46"/>
      <c r="D47" s="46"/>
      <c r="E47" s="46"/>
      <c r="F47" s="46"/>
      <c r="G47" s="46"/>
      <c r="H47" s="46"/>
      <c r="I47" s="46"/>
      <c r="J47" s="46"/>
      <c r="K47" s="46"/>
    </row>
    <row r="48" spans="1:40">
      <c r="A48" s="46"/>
      <c r="B48" s="46"/>
      <c r="C48" s="46"/>
      <c r="D48" s="46"/>
      <c r="E48" s="46"/>
      <c r="F48" s="46"/>
      <c r="G48" s="46"/>
      <c r="H48" s="46"/>
      <c r="I48" s="46"/>
      <c r="J48" s="46"/>
      <c r="K48" s="46"/>
    </row>
    <row r="49" spans="1:12">
      <c r="A49" s="46"/>
      <c r="B49" s="46"/>
      <c r="C49" s="46"/>
      <c r="D49" s="46"/>
      <c r="E49" s="46"/>
      <c r="F49" s="46"/>
      <c r="G49" s="46"/>
      <c r="H49" s="46"/>
      <c r="I49" s="46"/>
      <c r="J49" s="46"/>
      <c r="K49" s="46"/>
    </row>
    <row r="50" spans="1:12">
      <c r="A50" s="46"/>
      <c r="B50" s="46"/>
      <c r="C50" s="46"/>
      <c r="D50" s="46"/>
      <c r="E50" s="46"/>
      <c r="F50" s="46"/>
      <c r="G50" s="46"/>
      <c r="H50" s="46"/>
      <c r="I50" s="46"/>
      <c r="J50" s="46"/>
      <c r="K50" s="46"/>
    </row>
    <row r="51" spans="1:12">
      <c r="A51" s="46"/>
      <c r="B51" s="46"/>
      <c r="C51" s="46"/>
      <c r="D51" s="46"/>
      <c r="E51" s="46"/>
      <c r="F51" s="46"/>
      <c r="G51" s="46"/>
      <c r="H51" s="46"/>
      <c r="I51" s="46"/>
      <c r="J51" s="46"/>
      <c r="K51" s="46"/>
    </row>
    <row r="52" spans="1:12">
      <c r="A52" s="46"/>
      <c r="B52" s="46"/>
      <c r="C52" s="46"/>
      <c r="D52" s="46"/>
      <c r="E52" s="46"/>
      <c r="F52" s="46"/>
      <c r="G52" s="46"/>
      <c r="H52" s="46"/>
      <c r="I52" s="46"/>
      <c r="J52" s="46"/>
      <c r="K52" s="46"/>
    </row>
    <row r="53" spans="1:12">
      <c r="A53" s="46"/>
      <c r="B53" s="46"/>
      <c r="C53" s="46"/>
      <c r="D53" s="46"/>
      <c r="E53" s="46"/>
      <c r="F53" s="46"/>
      <c r="G53" s="46"/>
      <c r="H53" s="46"/>
      <c r="I53" s="46"/>
      <c r="J53" s="46"/>
      <c r="K53" s="46"/>
    </row>
    <row r="54" spans="1:12">
      <c r="A54" s="46"/>
      <c r="B54" s="46"/>
      <c r="C54" s="46"/>
      <c r="D54" s="46"/>
      <c r="E54" s="46"/>
      <c r="F54" s="46"/>
      <c r="G54" s="46"/>
      <c r="H54" s="46"/>
      <c r="I54" s="46"/>
      <c r="J54" s="46"/>
      <c r="K54" s="46"/>
    </row>
    <row r="55" spans="1:12">
      <c r="A55" s="322"/>
      <c r="B55" s="322"/>
      <c r="C55" s="323"/>
      <c r="D55" s="323"/>
      <c r="E55" s="323"/>
      <c r="F55" s="323"/>
      <c r="G55" s="323"/>
      <c r="H55" s="323"/>
      <c r="I55" s="323"/>
      <c r="J55" s="323"/>
      <c r="K55" s="323"/>
      <c r="L55" s="323"/>
    </row>
    <row r="56" spans="1:12">
      <c r="A56" s="318"/>
      <c r="B56" s="318"/>
      <c r="C56" s="321"/>
      <c r="D56" s="321"/>
      <c r="E56" s="321"/>
      <c r="F56" s="321"/>
      <c r="G56" s="321"/>
      <c r="H56" s="321"/>
      <c r="I56" s="321"/>
      <c r="J56" s="321"/>
      <c r="K56" s="321"/>
      <c r="L56" s="321"/>
    </row>
    <row r="57" spans="1:12">
      <c r="A57" s="318"/>
      <c r="B57" s="318"/>
      <c r="C57" s="321"/>
      <c r="D57" s="321"/>
      <c r="E57" s="321"/>
      <c r="F57" s="321"/>
      <c r="G57" s="321"/>
      <c r="H57" s="321"/>
      <c r="I57" s="321"/>
      <c r="J57" s="321"/>
      <c r="K57" s="321"/>
      <c r="L57" s="321"/>
    </row>
    <row r="58" spans="1:12">
      <c r="A58" s="318"/>
      <c r="B58" s="318"/>
      <c r="C58" s="321"/>
      <c r="D58" s="321"/>
      <c r="E58" s="321"/>
      <c r="F58" s="321"/>
      <c r="G58" s="321"/>
      <c r="H58" s="321"/>
      <c r="I58" s="321"/>
      <c r="J58" s="321"/>
      <c r="K58" s="321"/>
      <c r="L58" s="321"/>
    </row>
    <row r="59" spans="1:12">
      <c r="A59" s="318"/>
      <c r="B59" s="318"/>
      <c r="C59" s="319"/>
      <c r="D59" s="320"/>
      <c r="E59" s="320"/>
      <c r="F59" s="320"/>
      <c r="G59" s="321"/>
      <c r="H59" s="321"/>
      <c r="I59" s="321"/>
      <c r="J59" s="321"/>
      <c r="K59" s="321"/>
      <c r="L59" s="321"/>
    </row>
  </sheetData>
  <mergeCells count="117">
    <mergeCell ref="A5:B5"/>
    <mergeCell ref="O5:P5"/>
    <mergeCell ref="A6:B6"/>
    <mergeCell ref="O6:P6"/>
    <mergeCell ref="A7:B7"/>
    <mergeCell ref="O7:P7"/>
    <mergeCell ref="A8:B8"/>
    <mergeCell ref="O8:P8"/>
    <mergeCell ref="A9:L9"/>
    <mergeCell ref="O9:Z9"/>
    <mergeCell ref="A11:L11"/>
    <mergeCell ref="O11:Z11"/>
    <mergeCell ref="H13:J13"/>
    <mergeCell ref="V13:X13"/>
    <mergeCell ref="A35:B35"/>
    <mergeCell ref="C35:F35"/>
    <mergeCell ref="G35:I35"/>
    <mergeCell ref="J35:L35"/>
    <mergeCell ref="A36:B36"/>
    <mergeCell ref="C36:F36"/>
    <mergeCell ref="G36:I36"/>
    <mergeCell ref="J36:L36"/>
    <mergeCell ref="O36:P36"/>
    <mergeCell ref="Q36:T36"/>
    <mergeCell ref="U36:W36"/>
    <mergeCell ref="X36:Z36"/>
    <mergeCell ref="Z13:Z14"/>
    <mergeCell ref="AL36:AN36"/>
    <mergeCell ref="A37:B37"/>
    <mergeCell ref="C37:F37"/>
    <mergeCell ref="G37:I37"/>
    <mergeCell ref="J37:L37"/>
    <mergeCell ref="O37:P37"/>
    <mergeCell ref="Q37:T37"/>
    <mergeCell ref="U37:W37"/>
    <mergeCell ref="X37:Z37"/>
    <mergeCell ref="AC37:AD37"/>
    <mergeCell ref="AE37:AH37"/>
    <mergeCell ref="AI37:AK37"/>
    <mergeCell ref="AL37:AN37"/>
    <mergeCell ref="J38:L38"/>
    <mergeCell ref="O38:P38"/>
    <mergeCell ref="Q38:T38"/>
    <mergeCell ref="U38:W38"/>
    <mergeCell ref="X38:Z38"/>
    <mergeCell ref="AC38:AD38"/>
    <mergeCell ref="AC36:AD36"/>
    <mergeCell ref="AE36:AH36"/>
    <mergeCell ref="AI36:AK36"/>
    <mergeCell ref="AI40:AK40"/>
    <mergeCell ref="AL40:AN40"/>
    <mergeCell ref="A55:B55"/>
    <mergeCell ref="C55:F55"/>
    <mergeCell ref="G55:I55"/>
    <mergeCell ref="J55:L55"/>
    <mergeCell ref="AE38:AH38"/>
    <mergeCell ref="AI38:AK38"/>
    <mergeCell ref="AL38:AN38"/>
    <mergeCell ref="A39:B39"/>
    <mergeCell ref="C39:F39"/>
    <mergeCell ref="G39:I39"/>
    <mergeCell ref="J39:L39"/>
    <mergeCell ref="O39:P39"/>
    <mergeCell ref="Q39:T39"/>
    <mergeCell ref="U39:W39"/>
    <mergeCell ref="X39:Z39"/>
    <mergeCell ref="AC39:AD39"/>
    <mergeCell ref="AE39:AH39"/>
    <mergeCell ref="AI39:AK39"/>
    <mergeCell ref="AL39:AN39"/>
    <mergeCell ref="A38:B38"/>
    <mergeCell ref="C38:F38"/>
    <mergeCell ref="G38:I38"/>
    <mergeCell ref="C58:F58"/>
    <mergeCell ref="G58:I58"/>
    <mergeCell ref="J58:L58"/>
    <mergeCell ref="O40:P40"/>
    <mergeCell ref="Q40:T40"/>
    <mergeCell ref="U40:W40"/>
    <mergeCell ref="X40:Z40"/>
    <mergeCell ref="AC40:AD40"/>
    <mergeCell ref="AE40:AH40"/>
    <mergeCell ref="A59:B59"/>
    <mergeCell ref="C59:F59"/>
    <mergeCell ref="G59:I59"/>
    <mergeCell ref="J59:L59"/>
    <mergeCell ref="A1:A4"/>
    <mergeCell ref="A13:A14"/>
    <mergeCell ref="B13:B14"/>
    <mergeCell ref="C13:C14"/>
    <mergeCell ref="D13:D14"/>
    <mergeCell ref="E13:E14"/>
    <mergeCell ref="F13:F14"/>
    <mergeCell ref="G13:G14"/>
    <mergeCell ref="K13:K14"/>
    <mergeCell ref="L13:L14"/>
    <mergeCell ref="B1:H4"/>
    <mergeCell ref="A56:B56"/>
    <mergeCell ref="C56:F56"/>
    <mergeCell ref="G56:I56"/>
    <mergeCell ref="J56:L56"/>
    <mergeCell ref="A57:B57"/>
    <mergeCell ref="C57:F57"/>
    <mergeCell ref="G57:I57"/>
    <mergeCell ref="J57:L57"/>
    <mergeCell ref="A58:B58"/>
    <mergeCell ref="AD1:AI4"/>
    <mergeCell ref="O1:O4"/>
    <mergeCell ref="O13:O14"/>
    <mergeCell ref="P13:P14"/>
    <mergeCell ref="Q13:Q14"/>
    <mergeCell ref="R13:R14"/>
    <mergeCell ref="S13:S14"/>
    <mergeCell ref="T13:T14"/>
    <mergeCell ref="U13:U14"/>
    <mergeCell ref="Y13:Y14"/>
    <mergeCell ref="P1:V4"/>
  </mergeCells>
  <pageMargins left="0.23622047244094499" right="0.23622047244094499" top="0.15748031496063" bottom="0" header="0.31496062992126" footer="0.31496062992126"/>
  <pageSetup paperSize="9" fitToHeight="0"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24</vt:i4>
      </vt:variant>
      <vt:variant>
        <vt:lpstr>Named Ranges</vt:lpstr>
      </vt:variant>
      <vt:variant>
        <vt:i4>13</vt:i4>
      </vt:variant>
    </vt:vector>
  </HeadingPairs>
  <TitlesOfParts>
    <vt:vector size="37" baseType="lpstr">
      <vt:lpstr>Sheet1</vt:lpstr>
      <vt:lpstr>SAKRA</vt:lpstr>
      <vt:lpstr>ATTARASAND-PR</vt:lpstr>
      <vt:lpstr>ATTARSAND -AGS</vt:lpstr>
      <vt:lpstr>ATTARSAND-KHAYATHI</vt:lpstr>
      <vt:lpstr>GEHRAULI</vt:lpstr>
      <vt:lpstr>ATTARSAND-AGS</vt:lpstr>
      <vt:lpstr>sekhpur adharganj</vt:lpstr>
      <vt:lpstr>SARAI JAMMUVARI</vt:lpstr>
      <vt:lpstr>MANDHA BHOJI</vt:lpstr>
      <vt:lpstr>attarsand pr</vt:lpstr>
      <vt:lpstr>PUREBHIKA AND RAIGARH</vt:lpstr>
      <vt:lpstr>attarasand khayathi </vt:lpstr>
      <vt:lpstr>MALAAK</vt:lpstr>
      <vt:lpstr>Dehri digar</vt:lpstr>
      <vt:lpstr>sarsidih</vt:lpstr>
      <vt:lpstr>Attarsand AK</vt:lpstr>
      <vt:lpstr>Kansapatti</vt:lpstr>
      <vt:lpstr>Dharouli</vt:lpstr>
      <vt:lpstr>Lauli poktakham</vt:lpstr>
      <vt:lpstr>Puremanikanth</vt:lpstr>
      <vt:lpstr>Choumari</vt:lpstr>
      <vt:lpstr>Bhaidpur</vt:lpstr>
      <vt:lpstr>Amuwahi</vt:lpstr>
      <vt:lpstr>'ATTARASAND-PR'!Print_Area</vt:lpstr>
      <vt:lpstr>'ATTARSAND -AGS'!Print_Area</vt:lpstr>
      <vt:lpstr>'attarsand pr'!Print_Area</vt:lpstr>
      <vt:lpstr>'ATTARSAND-KHAYATHI'!Print_Area</vt:lpstr>
      <vt:lpstr>Choumari!Print_Area</vt:lpstr>
      <vt:lpstr>'Dehri digar'!Print_Area</vt:lpstr>
      <vt:lpstr>GEHRAULI!Print_Area</vt:lpstr>
      <vt:lpstr>'PUREBHIKA AND RAIGARH'!Print_Area</vt:lpstr>
      <vt:lpstr>SAKRA!Print_Area</vt:lpstr>
      <vt:lpstr>'SARAI JAMMUVARI'!Print_Area</vt:lpstr>
      <vt:lpstr>sarsidih!Print_Area</vt:lpstr>
      <vt:lpstr>'sekhpur adharganj'!Print_Area</vt:lpstr>
      <vt:lpstr>'PUREBHIKA AND RAIGARH'!Print_Titles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cp:lastPrinted>2024-02-20T05:56:23Z</cp:lastPrinted>
  <dcterms:created xsi:type="dcterms:W3CDTF">2023-01-10T08:45:00Z</dcterms:created>
  <dcterms:modified xsi:type="dcterms:W3CDTF">2024-03-19T04:44:40Z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4729DFDFB89849BE9C46DE424D3B7165_12</vt:lpwstr>
  </property>
  <property fmtid="{D5CDD505-2E9C-101B-9397-08002B2CF9AE}" pid="3" name="KSOProductBuildVer">
    <vt:lpwstr>1033-12.2.0.13431</vt:lpwstr>
  </property>
</Properties>
</file>